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RLoBRGQOuq4h9NYYd0ZMDv/LCJh3UE/yLSVym7tn34a3fH/OA5jrUZl5iroaPWJgO0ieiv454CAWySeGOOIYDQ==" workbookSaltValue="xl4M2beg5P5CBssAOCIx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AB13" i="21"/>
  <c r="BG10" i="8"/>
  <c r="B9" i="6"/>
  <c r="L9" i="2"/>
  <c r="X10" i="21"/>
  <c r="L15" i="2"/>
  <c r="L10" i="2"/>
  <c r="BL16" i="11"/>
  <c r="AQ12" i="21"/>
  <c r="BF15" i="11"/>
  <c r="Q15" i="17"/>
  <c r="S10" i="17"/>
  <c r="BI9" i="11"/>
  <c r="Q17" i="17"/>
  <c r="T16" i="11"/>
  <c r="AA17" i="16"/>
  <c r="BV9" i="16"/>
  <c r="V12" i="16"/>
  <c r="BW11" i="20"/>
  <c r="BU10" i="17"/>
  <c r="AP17" i="20"/>
  <c r="BG15" i="11"/>
  <c r="BI15" i="11"/>
  <c r="V11" i="11"/>
  <c r="BL17" i="11"/>
  <c r="BH17" i="16"/>
  <c r="AL16" i="11"/>
  <c r="C16" i="6"/>
  <c r="BE9" i="13"/>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AN20" i="20"/>
  <c r="M20" i="20"/>
  <c r="AA20" i="20"/>
  <c r="T20" i="21"/>
  <c r="G18" i="14"/>
  <c r="AV20" i="20"/>
  <c r="AE20" i="20"/>
  <c r="AB20" i="20"/>
  <c r="Y20" i="20"/>
  <c r="I20" i="20"/>
  <c r="W20" i="21"/>
  <c r="AZ20" i="20"/>
  <c r="J20" i="20"/>
  <c r="R20" i="20"/>
  <c r="U10" i="11"/>
  <c r="U16" i="11"/>
  <c r="AM20" i="20"/>
  <c r="G13" i="14"/>
  <c r="X20" i="20"/>
  <c r="L20" i="20"/>
  <c r="AO20" i="20"/>
  <c r="N20" i="20"/>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N18" i="11"/>
  <c r="BE13" i="8"/>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D20" i="16"/>
  <c r="BK20" i="16"/>
  <c r="AR20" i="11"/>
  <c r="AN20" i="16"/>
  <c r="P20" i="21"/>
  <c r="AJ20" i="16"/>
  <c r="AS20" i="11"/>
  <c r="L20" i="17"/>
  <c r="S20" i="17"/>
  <c r="AV20" i="11"/>
  <c r="K20" i="17"/>
  <c r="P20" i="11"/>
  <c r="M20" i="11"/>
  <c r="J20" i="12"/>
  <c r="U20" i="11"/>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M20" i="21"/>
  <c r="F20" i="21"/>
  <c r="E20" i="16"/>
  <c r="O20" i="11"/>
  <c r="AB20" i="21"/>
  <c r="F20" i="16"/>
  <c r="E20" i="17"/>
  <c r="BE20" i="16"/>
  <c r="AB20" i="16"/>
  <c r="BJ20" i="16"/>
  <c r="AL20" i="16"/>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<sst xmlns="http://schemas.openxmlformats.org/spreadsheetml/2006/main" count="2074" uniqueCount="908">
  <si>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</si>
  <si>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</si>
  <si>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</si>
  <si>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</si>
  <si>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</si>
  <si>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</si>
  <si>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</si>
  <si>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</si>
  <si>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</si>
  <si>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</si>
  <si>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</si>
  <si>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</si>
  <si>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</si>
  <si>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</si>
  <si>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</si>
  <si>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</si>
  <si>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</si>
  <si>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</si>
  <si>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</si>
  <si>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</si>
  <si>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</si>
  <si>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</si>
  <si>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</si>
  <si>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</si>
  <si>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</si>
  <si>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</si>
  <si>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</si>
  <si>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</si>
  <si>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</si>
  <si>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</si>
  <si>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</si>
  <si>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</si>
  <si>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</si>
  <si>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</si>
  <si>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</si>
  <si>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</si>
  <si>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</si>
  <si>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</si>
  <si>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</si>
  <si>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</si>
  <si>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</si>
  <si>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</si>
  <si>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</si>
  <si>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</si>
  <si>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</si>
  <si>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</si>
  <si>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</si>
  <si>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</si>
  <si>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</si>
  <si>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</si>
  <si>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</si>
  <si>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</si>
  <si>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</si>
  <si>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</si>
  <si>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</si>
  <si>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</si>
  <si>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</si>
  <si>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</si>
  <si>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</si>
  <si>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</si>
  <si>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</si>
  <si>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</si>
  <si>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</si>
  <si>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</si>
  <si>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</si>
  <si>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</si>
  <si>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</si>
  <si>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</si>
  <si>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</si>
  <si>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</si>
  <si>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</si>
  <si>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</si>
  <si>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</si>
  <si>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</si>
  <si>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</si>
  <si>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</si>
  <si>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</si>
  <si>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</si>
  <si>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</si>
  <si>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</si>
  <si>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</si>
  <si>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</si>
  <si>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</si>
  <si>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</si>
  <si>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</si>
  <si>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</si>
  <si>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</si>
  <si>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</si>
  <si>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</si>
  <si>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</si>
  <si>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</si>
  <si>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</si>
  <si>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</si>
  <si>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</si>
  <si>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</si>
  <si>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</si>
  <si>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</si>
  <si>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</si>
  <si>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</si>
  <si>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</si>
  <si>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</si>
  <si>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</si>
  <si>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</si>
  <si>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</si>
  <si>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</si>
  <si>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</si>
  <si>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</si>
  <si>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</si>
  <si>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</si>
  <si>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</si>
  <si>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</si>
  <si>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</si>
  <si>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</si>
  <si>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</si>
  <si>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</si>
  <si>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</si>
  <si>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</si>
  <si>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</si>
  <si>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</si>
  <si>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</si>
  <si>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</si>
  <si>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</si>
  <si>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</si>
  <si>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</si>
  <si>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</si>
  <si>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</si>
  <si>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</si>
  <si>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</si>
  <si>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</si>
  <si>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</si>
  <si>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</si>
  <si>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</si>
  <si>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</si>
  <si>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</si>
  <si>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</si>
  <si>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</si>
  <si>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</si>
  <si>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</si>
  <si>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</si>
  <si>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</si>
  <si>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</si>
  <si>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</si>
  <si>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</si>
  <si>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</si>
  <si>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</si>
  <si>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</si>
  <si>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</si>
  <si>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</si>
  <si>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</si>
  <si>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</si>
  <si>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</si>
  <si>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</si>
  <si>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</si>
  <si>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</si>
  <si>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</si>
  <si>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</si>
  <si>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</si>
  <si>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</si>
  <si>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</si>
  <si>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</si>
  <si>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</si>
  <si>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</si>
  <si>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</si>
  <si>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</si>
  <si>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</si>
  <si>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</si>
  <si>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</si>
  <si>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</si>
  <si>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</si>
  <si>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</si>
  <si>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</si>
  <si>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</si>
  <si>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</si>
  <si>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</si>
  <si>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</si>
  <si>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</si>
  <si>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</si>
  <si>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</si>
  <si>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</si>
  <si>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</si>
  <si>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</si>
  <si>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</si>
  <si>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</si>
  <si>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</si>
  <si>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</si>
  <si>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</si>
  <si>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</si>
  <si>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</si>
  <si>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</si>
  <si>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</si>
  <si>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</si>
  <si>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</si>
  <si>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</si>
  <si>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</si>
  <si>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</si>
  <si>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</si>
  <si>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</si>
  <si>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</si>
  <si>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</si>
  <si>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</si>
  <si>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</si>
  <si>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</si>
  <si>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</si>
  <si>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</si>
  <si>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</si>
  <si>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</si>
  <si>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</si>
  <si>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</si>
  <si>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</si>
  <si>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</si>
  <si>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</si>
  <si>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</si>
  <si>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</si>
  <si>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</si>
  <si>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</si>
  <si>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</si>
  <si>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</si>
  <si>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</si>
  <si>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</si>
  <si>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</si>
  <si>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</si>
  <si>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</si>
  <si>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</si>
  <si>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</si>
  <si>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</si>
  <si>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</si>
  <si>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</si>
  <si>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</si>
  <si>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</si>
  <si>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</si>
  <si>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</si>
  <si>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</si>
  <si>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</si>
  <si>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</si>
  <si>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</si>
  <si>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</si>
  <si>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</si>
  <si>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</si>
  <si>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</si>
  <si>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</si>
  <si>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</si>
  <si>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</si>
  <si>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</si>
  <si>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</si>
  <si>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</si>
  <si>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</si>
  <si>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</si>
  <si>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</si>
  <si>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</si>
  <si>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</si>
  <si>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</si>
  <si>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</si>
  <si>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</si>
  <si>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</si>
  <si>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</si>
  <si>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</si>
  <si>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</si>
  <si>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</si>
  <si>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</si>
  <si>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</si>
  <si>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</si>
  <si>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</si>
  <si>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</si>
  <si>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</si>
  <si>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</si>
  <si>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</si>
  <si>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</si>
  <si>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</si>
  <si>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</si>
  <si>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</si>
  <si>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</si>
  <si>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</si>
  <si>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</si>
  <si>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</si>
  <si>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</si>
  <si>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</si>
  <si>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</si>
  <si>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</si>
  <si>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</si>
  <si>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</si>
  <si>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</si>
  <si>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</si>
  <si>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</si>
  <si>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</si>
  <si>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</si>
  <si>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</si>
  <si>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</si>
  <si>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</si>
  <si>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</si>
  <si>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</si>
  <si>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</si>
  <si>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</si>
  <si>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</si>
  <si>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</si>
  <si>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</si>
  <si>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</si>
  <si>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</si>
  <si>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</si>
  <si>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</si>
  <si>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</si>
  <si>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</si>
  <si>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</si>
  <si>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</si>
  <si>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</si>
  <si>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</si>
  <si>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</si>
  <si>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</si>
  <si>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</si>
  <si>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</si>
  <si>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</si>
  <si>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</si>
  <si>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</si>
  <si>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</si>
  <si>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</si>
  <si>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</si>
  <si>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</si>
  <si>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</si>
  <si>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</si>
  <si>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</si>
  <si>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</si>
  <si>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</si>
  <si>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</si>
  <si>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</si>
  <si>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</si>
  <si>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</si>
  <si>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</si>
  <si>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</si>
  <si>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</si>
  <si>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</si>
  <si>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</si>
  <si>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</si>
  <si>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</si>
  <si>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</si>
  <si>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</si>
  <si>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</si>
  <si>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</si>
  <si>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</si>
  <si>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</si>
  <si>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</si>
  <si>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</si>
  <si>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</si>
  <si>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</si>
  <si>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</si>
  <si>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</si>
  <si>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</si>
  <si>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</si>
  <si>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</si>
  <si>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</si>
  <si>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</si>
  <si>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</si>
  <si>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</si>
  <si>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</si>
  <si>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</si>
  <si>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</si>
  <si>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</si>
  <si>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</si>
  <si>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</si>
  <si>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</si>
  <si>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</si>
  <si>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</si>
  <si>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</si>
  <si>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</si>
  <si>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</si>
  <si>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</si>
  <si>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</si>
  <si>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</si>
  <si>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</si>
  <si>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</si>
  <si>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</si>
  <si>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</si>
  <si>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</si>
  <si>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</si>
  <si>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</si>
  <si>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</si>
  <si>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</si>
  <si>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</si>
  <si>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</si>
  <si>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</si>
  <si>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</si>
  <si>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</si>
  <si>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</si>
  <si>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</si>
  <si>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</si>
  <si>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</si>
  <si>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</si>
  <si>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</si>
  <si>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</si>
  <si>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</si>
  <si>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</si>
  <si>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</si>
  <si>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</si>
  <si>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</si>
  <si>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</si>
  <si>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</si>
  <si>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</si>
  <si>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</si>
  <si>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</si>
  <si>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</si>
  <si>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</si>
  <si>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</si>
  <si>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</si>
  <si>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</si>
  <si>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</si>
  <si>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</si>
  <si>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</si>
  <si>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</si>
  <si>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</si>
  <si>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</si>
  <si>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</si>
  <si>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</si>
  <si>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</si>
  <si>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</si>
  <si>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</si>
  <si>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</si>
  <si>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</si>
  <si>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</si>
  <si>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</si>
  <si>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</si>
  <si>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</si>
  <si>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</si>
  <si>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</si>
  <si>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</si>
  <si>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</si>
  <si>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</si>
  <si>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</si>
  <si>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</si>
  <si>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</si>
  <si>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</si>
  <si>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</si>
  <si>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</si>
  <si>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</si>
  <si>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</si>
  <si>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</si>
  <si>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</si>
  <si>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</si>
  <si>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</si>
  <si>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</si>
  <si>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</si>
  <si>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</si>
  <si>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</si>
  <si>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</si>
  <si>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</si>
  <si>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</si>
  <si>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</si>
  <si>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</si>
  <si>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</si>
  <si>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</si>
  <si>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</si>
  <si>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</si>
  <si>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</si>
  <si>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</si>
  <si>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</si>
  <si>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</si>
  <si>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</si>
  <si>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</si>
  <si>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</si>
  <si>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</si>
  <si>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</si>
  <si>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</si>
  <si>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</si>
  <si>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</si>
  <si>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</si>
  <si>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</si>
  <si>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</si>
  <si>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</si>
  <si>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</si>
  <si>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</si>
  <si>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</si>
  <si>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</si>
  <si>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</si>
  <si>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</si>
  <si>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</si>
  <si>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</si>
  <si>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</si>
  <si>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</si>
  <si>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</si>
  <si>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</si>
  <si>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</si>
  <si>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</si>
  <si>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</si>
  <si>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</si>
  <si>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</si>
  <si>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</si>
  <si>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</si>
  <si>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</si>
  <si>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</si>
  <si>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</si>
  <si>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</si>
  <si>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</si>
  <si>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</si>
  <si>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</si>
  <si>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</si>
  <si>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</si>
  <si>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</si>
  <si>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</si>
  <si>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</si>
  <si>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</si>
  <si>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</si>
  <si>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</si>
  <si>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</si>
  <si>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</si>
  <si>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</si>
  <si>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</si>
  <si>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</si>
  <si>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</si>
  <si>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</si>
  <si>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</si>
  <si>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</si>
  <si>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</si>
  <si>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</si>
  <si>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</si>
  <si>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</si>
  <si>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</si>
  <si>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</si>
  <si>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</si>
  <si>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</si>
  <si>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</si>
  <si>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</si>
  <si>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</si>
  <si>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</si>
  <si>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</si>
  <si>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</si>
  <si>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</si>
  <si>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</si>
  <si>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</si>
  <si>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</si>
  <si>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</si>
  <si>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</si>
  <si>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</si>
  <si>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</si>
  <si>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</si>
  <si>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</si>
  <si>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</si>
  <si>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</si>
  <si>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</si>
  <si>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</si>
  <si>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</si>
  <si>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</si>
  <si>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</si>
  <si>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</si>
  <si>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</si>
  <si>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</si>
  <si>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</si>
  <si>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</si>
  <si>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</si>
  <si>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</si>
  <si>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</si>
  <si>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</si>
  <si>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</si>
  <si>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</si>
  <si>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</si>
  <si>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</si>
  <si>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</si>
  <si>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</si>
  <si>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</si>
  <si>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</si>
  <si>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</si>
  <si>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</si>
  <si>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</si>
  <si>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</si>
  <si>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</si>
  <si>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</si>
  <si>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</si>
  <si>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</si>
  <si>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</si>
  <si>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</si>
  <si>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</si>
  <si>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</si>
  <si>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</si>
  <si>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</si>
  <si>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</si>
  <si>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</si>
  <si>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</si>
  <si>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</si>
  <si>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</si>
  <si>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</si>
  <si>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</si>
  <si>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</si>
  <si>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</si>
  <si>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</si>
  <si>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</si>
  <si>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</si>
  <si>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</si>
  <si>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</si>
  <si>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</si>
  <si>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</si>
  <si>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</si>
  <si>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</si>
  <si>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</si>
  <si>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</si>
  <si>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</si>
  <si>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</si>
  <si>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</si>
  <si>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</si>
  <si>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</si>
  <si>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</si>
  <si>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</si>
  <si>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</si>
  <si>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</si>
  <si>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</si>
  <si>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</si>
  <si>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</si>
  <si>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</si>
  <si>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</si>
  <si>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</si>
  <si>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</si>
  <si>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</si>
  <si>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</si>
  <si>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</si>
  <si>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</si>
  <si>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</si>
  <si>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</si>
  <si>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</si>
  <si>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</si>
  <si>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</si>
  <si>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</si>
  <si>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</si>
  <si>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</si>
  <si>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</si>
  <si>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</si>
  <si>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</si>
  <si>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</si>
  <si>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</si>
  <si>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</si>
  <si>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</si>
  <si>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</si>
  <si>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</si>
  <si>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</si>
  <si>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</si>
  <si>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</si>
  <si>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</si>
  <si>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</si>
  <si>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</si>
  <si>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</si>
  <si>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</si>
  <si>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</si>
  <si>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</si>
  <si>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</si>
  <si>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</si>
  <si>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</si>
  <si>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</si>
  <si>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</si>
  <si>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</si>
  <si>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</si>
  <si>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</si>
  <si>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</si>
  <si>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</si>
  <si>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</si>
  <si>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</si>
  <si>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</si>
  <si>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</si>
  <si>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</si>
  <si>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</si>
  <si>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</si>
  <si>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</si>
  <si>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</si>
  <si>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</si>
  <si>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</si>
  <si>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</si>
  <si>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</si>
  <si>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</si>
  <si>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</si>
  <si>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</si>
  <si>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</si>
  <si>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</si>
  <si>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</si>
  <si>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</si>
  <si>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</si>
  <si>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</si>
  <si>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</si>
  <si>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</si>
  <si>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</si>
  <si>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</si>
  <si>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</si>
  <si>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</si>
  <si>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</si>
  <si>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</si>
  <si>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</si>
  <si>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</si>
  <si>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</si>
  <si>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</si>
  <si>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</si>
  <si>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</si>
  <si>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</si>
  <si>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</si>
  <si>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</si>
  <si>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</si>
  <si>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</si>
  <si>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</si>
  <si>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</si>
  <si>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</si>
  <si>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</si>
  <si>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</si>
  <si>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</si>
  <si>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</si>
  <si>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</si>
  <si>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</si>
  <si>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</si>
  <si>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</si>
  <si>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</si>
  <si>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</si>
  <si>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</si>
  <si>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</si>
  <si>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</si>
  <si>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</si>
  <si>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</si>
  <si>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</si>
  <si>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</si>
  <si>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</si>
  <si>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</si>
  <si>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</si>
  <si>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</si>
  <si>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</si>
  <si>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</si>
  <si>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</si>
  <si>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</si>
  <si>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</si>
  <si>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</si>
  <si>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</si>
  <si>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</si>
  <si>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</si>
  <si>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</si>
  <si>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</si>
  <si>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</si>
  <si>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</si>
  <si>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</si>
  <si>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</si>
  <si>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</si>
  <si>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</si>
  <si>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</si>
  <si>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</si>
  <si>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</si>
  <si>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</si>
  <si>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</si>
  <si>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</si>
  <si>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</si>
  <si>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</si>
  <si>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</si>
  <si>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</si>
  <si>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</si>
  <si>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</si>
  <si>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</si>
  <si>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</si>
  <si>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</si>
  <si>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</si>
  <si>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</si>
  <si>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</si>
  <si>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</si>
  <si>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</si>
  <si>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</si>
  <si>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</si>
  <si>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</si>
  <si>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</si>
  <si>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</si>
  <si>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</si>
  <si>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</si>
  <si>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</si>
  <si>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</si>
  <si>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</si>
  <si>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</si>
  <si>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</si>
  <si>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</si>
  <si>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</si>
  <si>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</si>
  <si>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</si>
  <si>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</si>
  <si>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</si>
  <si>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</si>
  <si>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</si>
  <si>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</si>
  <si>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</si>
  <si>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</si>
  <si>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</si>
  <si>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</si>
  <si>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</si>
  <si>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</si>
  <si>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</si>
  <si>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</si>
  <si>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</si>
  <si>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</si>
  <si>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</si>
  <si>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</si>
  <si>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</si>
  <si>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</si>
  <si>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</si>
  <si>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</si>
  <si>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</si>
  <si>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</si>
  <si>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</si>
  <si>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</si>
  <si>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</si>
  <si>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</si>
  <si>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</si>
  <si>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</si>
  <si>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</si>
  <si>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</si>
  <si>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</si>
  <si>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</si>
  <si>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</si>
  <si>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</si>
  <si>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</si>
  <si>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</si>
  <si>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</si>
  <si>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</si>
  <si>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</si>
  <si>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</si>
  <si>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</si>
  <si>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</si>
  <si>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</si>
  <si>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</si>
  <si>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</si>
  <si>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</si>
  <si>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</si>
  <si>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</si>
  <si>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</si>
  <si>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</si>
  <si>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</si>
  <si>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</si>
  <si>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</si>
  <si>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</si>
  <si>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</si>
  <si>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</si>
  <si>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</si>
  <si>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</si>
  <si>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</si>
  <si>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</si>
  <si>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</si>
  <si>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</si>
  <si>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</si>
  <si>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</si>
  <si>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</si>
  <si>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</si>
  <si>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</si>
  <si>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</si>
  <si>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</si>
  <si>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</si>
  <si>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</si>
  <si>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</si>
  <si>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</si>
  <si>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</si>
  <si>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</si>
  <si>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</si>
  <si>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</si>
  <si>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</si>
  <si>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</si>
  <si>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</si>
  <si>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</si>
  <si>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</si>
  <si>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</si>
  <si>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</si>
  <si>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</si>
  <si>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</si>
  <si>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</si>
  <si>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</si>
  <si>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</si>
  <si>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</si>
  <si>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</si>
  <si>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</si>
  <si>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</si>
  <si>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</si>
  <si>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</si>
  <si>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</si>
  <si>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</si>
  <si>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</si>
  <si>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</si>
  <si>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</si>
  <si>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</si>
  <si>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</si>
  <si>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</si>
  <si>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</si>
  <si>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</si>
  <si>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</si>
  <si>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</si>
  <si>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</si>
  <si>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</si>
  <si>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</si>
  <si>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</si>
  <si>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</si>
  <si>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</si>
  <si>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</si>
  <si>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</si>
  <si>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</si>
  <si>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</si>
  <si>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</si>
  <si>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</si>
  <si>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</si>
  <si>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</si>
  <si>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</si>
  <si>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</si>
  <si>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</si>
  <si>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</si>
  <si>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</si>
  <si>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</si>
  <si>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</si>
  <si>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</si>
  <si>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</si>
  <si>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</si>
  <si>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</si>
  <si>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</si>
  <si>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</si>
  <si>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</si>
  <si>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</si>
  <si>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</si>
  <si>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</si>
  <si>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</si>
  <si>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</si>
  <si>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LLEIDA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</si>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</sst>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Owknt4oeFyenM8cjoXTJ+tJZkDvI/baDEyNucuP6H1h4kE4m+wlQ5vcp75SVGan3G1kS2h0+gnQk1xtly075A==" saltValue="YYs3uTNkOPSuRi1GumHk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LLEIDA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10273</v>
      </c>
      <c r="D9" s="404">
        <f>IF(ISNUMBER(C9/Datos!BH9),C9/Datos!BH9," - ")</f>
        <v>1467.5714285714287</v>
      </c>
      <c r="E9" s="403">
        <f>IF(ISNUMBER(IF(J_V="SI",Datos!J9,Datos!J9+Datos!Z9)),IF(J_V="SI",Datos!J9,Datos!J9+Datos!Z9)," - ")</f>
        <v>4658</v>
      </c>
      <c r="F9" s="404">
        <f>IF(ISNUMBER(E9/B9),E9/B9," - ")</f>
        <v>776.33333333333337</v>
      </c>
      <c r="G9" s="403">
        <f>IF(ISNUMBER(IF(J_V="SI",Datos!K9,Datos!K9+Datos!AA9)),IF(J_V="SI",Datos!K9,Datos!K9+Datos!AA9)," - ")</f>
        <v>4298</v>
      </c>
      <c r="H9" s="404">
        <f>IF(ISNUMBER(G9/B9),G9/B9," - ")</f>
        <v>716.33333333333337</v>
      </c>
      <c r="I9" s="403">
        <f>IF(ISNUMBER(IF(J_V="SI",Datos!L9,Datos!L9+Datos!AB9)),IF(J_V="SI",Datos!L9,Datos!L9+Datos!AB9)," - ")</f>
        <v>10634</v>
      </c>
      <c r="J9" s="404">
        <f>IF(ISNUMBER(I9/B9),I9/B9," - ")</f>
        <v>1772.3333333333333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178</v>
      </c>
      <c r="D10" s="404">
        <f>IF(ISNUMBER(C10/Datos!BH10),C10/Datos!BH10," - ")</f>
        <v>178</v>
      </c>
      <c r="E10" s="403">
        <f>IF(ISNUMBER(Datos!J10),Datos!J10," - ")</f>
        <v>55</v>
      </c>
      <c r="F10" s="404">
        <f>IF(ISNUMBER(E10/B10),E10/B10," - ")</f>
        <v>55</v>
      </c>
      <c r="G10" s="403">
        <f>IF(ISNUMBER(Datos!K10),Datos!K10," - ")</f>
        <v>74</v>
      </c>
      <c r="H10" s="404">
        <f>IF(ISNUMBER(G10/B10),G10/B10," - ")</f>
        <v>74</v>
      </c>
      <c r="I10" s="403">
        <f>IF(ISNUMBER(Datos!L10),Datos!L10," - ")</f>
        <v>159</v>
      </c>
      <c r="J10" s="404">
        <f>IF(ISNUMBER(I10/B10),I10/B10," - ")</f>
        <v>159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897</v>
      </c>
      <c r="D11" s="404">
        <f>IF(ISNUMBER(C11/Datos!BH11),C11/Datos!BH11," - ")</f>
        <v>448.5</v>
      </c>
      <c r="E11" s="403">
        <f>IF(ISNUMBER(IF(J_V="SI",Datos!J11,Datos!J11+Datos!Z11)),IF(J_V="SI",Datos!J11,Datos!J11+Datos!Z11)," - ")</f>
        <v>580</v>
      </c>
      <c r="F11" s="404">
        <f>IF(ISNUMBER(E11/B11),E11/B11," - ")</f>
        <v>290</v>
      </c>
      <c r="G11" s="403">
        <f>IF(ISNUMBER(IF(J_V="SI",Datos!K11,Datos!K11+Datos!AA11)),IF(J_V="SI",Datos!K11,Datos!K11+Datos!AA11)," - ")</f>
        <v>640</v>
      </c>
      <c r="H11" s="404">
        <f>IF(ISNUMBER(G11/B11),G11/B11," - ")</f>
        <v>320</v>
      </c>
      <c r="I11" s="403">
        <f>IF(ISNUMBER(IF(J_V="SI",Datos!L11,Datos!L11+Datos!AB11)),IF(J_V="SI",Datos!L11,Datos!L11+Datos!AB11)," - ")</f>
        <v>837</v>
      </c>
      <c r="J11" s="404">
        <f>IF(ISNUMBER(I11/B11),I11/B11," - ")</f>
        <v>418.5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11349</v>
      </c>
      <c r="D13" s="850" t="str">
        <f>IF(ISNUMBER(C13/Datos!BI13),C13/Datos!BI13," - ")</f>
        <v xml:space="preserve"> - </v>
      </c>
      <c r="E13" s="849">
        <f>SUBTOTAL(9,E8:E12)</f>
        <v>5293</v>
      </c>
      <c r="F13" s="850">
        <f>IF(ISNUMBER(E13/B13),E13/B13," - ")</f>
        <v>588.11111111111109</v>
      </c>
      <c r="G13" s="849">
        <f>SUBTOTAL(9,G8:G12)</f>
        <v>5012</v>
      </c>
      <c r="H13" s="850">
        <f>IF(ISNUMBER(G13/B13),G13/B13," - ")</f>
        <v>556.88888888888891</v>
      </c>
      <c r="I13" s="849">
        <f>SUBTOTAL(9,I8:I12)</f>
        <v>11631</v>
      </c>
      <c r="J13" s="850">
        <f>IF(ISNUMBER(I13/B13),I13/B13," - ")</f>
        <v>1292.3333333333333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7674</v>
      </c>
      <c r="D15" s="404">
        <f>IF(ISNUMBER(C15/Datos!BH15),C15/Datos!BH15," - ")</f>
        <v>1918.5</v>
      </c>
      <c r="E15" s="403">
        <f>IF(ISNUMBER(IF(D_I="SI",Datos!J15,Datos!J15+Datos!AD15)),IF(D_I="SI",Datos!J15,Datos!J15+Datos!AD15)," - ")</f>
        <v>4742</v>
      </c>
      <c r="F15" s="404">
        <f>IF(ISNUMBER(E15/B15),E15/B15," - ")</f>
        <v>1185.5</v>
      </c>
      <c r="G15" s="403">
        <f>IF(ISNUMBER(IF(D_I="SI",Datos!K15,Datos!K15+Datos!AE15)),IF(D_I="SI",Datos!K15,Datos!K15+Datos!AE15)," - ")</f>
        <v>4277</v>
      </c>
      <c r="H15" s="404">
        <f>IF(ISNUMBER(G15/B15),G15/B15," - ")</f>
        <v>1069.25</v>
      </c>
      <c r="I15" s="403">
        <f>IF(ISNUMBER(IF(D_I="SI",Datos!L15,Datos!L15+Datos!AF15)),IF(D_I="SI",Datos!L15,Datos!L15+Datos!AF15)," - ")</f>
        <v>8155</v>
      </c>
      <c r="J15" s="404">
        <f>IF(ISNUMBER(I15/B15),I15/B15," - ")</f>
        <v>2038.75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293</v>
      </c>
      <c r="D17" s="404">
        <f>IF(ISNUMBER(C17/Datos!BH17),C17/Datos!BH17," - ")</f>
        <v>293</v>
      </c>
      <c r="E17" s="403">
        <f>IF(ISNUMBER(IF(D_I="SI",Datos!J17,Datos!J17+Datos!AD17)),IF(D_I="SI",Datos!J17,Datos!J17+Datos!AD17)," - ")</f>
        <v>433</v>
      </c>
      <c r="F17" s="404">
        <f>IF(ISNUMBER(E17/B17),E17/B17," - ")</f>
        <v>433</v>
      </c>
      <c r="G17" s="403">
        <f>IF(ISNUMBER(IF(D_I="SI",Datos!K17,Datos!K17+Datos!AE17)),IF(D_I="SI",Datos!K17,Datos!K17+Datos!AE17)," - ")</f>
        <v>427</v>
      </c>
      <c r="H17" s="404">
        <f>IF(ISNUMBER(G17/B17),G17/B17," - ")</f>
        <v>427</v>
      </c>
      <c r="I17" s="403">
        <f>IF(ISNUMBER(IF(D_I="SI",Datos!L17,Datos!L17+Datos!AF17)),IF(D_I="SI",Datos!L17,Datos!L17+Datos!AF17)," - ")</f>
        <v>299</v>
      </c>
      <c r="J17" s="404">
        <f>IF(ISNUMBER(I17/B17),I17/B17," - ")</f>
        <v>299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7967</v>
      </c>
      <c r="D18" s="850" t="str">
        <f>IF(ISNUMBER(C18/Datos!BI18),C18/Datos!BI18," - ")</f>
        <v xml:space="preserve"> - </v>
      </c>
      <c r="E18" s="849">
        <f>SUBTOTAL(9,E14:E17)</f>
        <v>5175</v>
      </c>
      <c r="F18" s="850">
        <f>IF(ISNUMBER(E18/B18),E18/B18," - ")</f>
        <v>1035</v>
      </c>
      <c r="G18" s="849">
        <f>SUBTOTAL(9,G14:G17)</f>
        <v>4704</v>
      </c>
      <c r="H18" s="850">
        <f>IF(ISNUMBER(G18/B18),G18/B18," - ")</f>
        <v>940.8</v>
      </c>
      <c r="I18" s="849">
        <f>SUBTOTAL(9,I14:I17)</f>
        <v>8454</v>
      </c>
      <c r="J18" s="850">
        <f>IF(ISNUMBER(I18/B18),I18/B18," - ")</f>
        <v>1690.8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19316</v>
      </c>
      <c r="D19" s="795" t="str">
        <f>IF(ISNUMBER(C19/Datos!BI19),C19/Datos!BI19," - ")</f>
        <v xml:space="preserve"> - </v>
      </c>
      <c r="E19" s="794">
        <f>SUBTOTAL(9,E9:E18)</f>
        <v>10468</v>
      </c>
      <c r="F19" s="795">
        <f>IF(ISNUMBER(E19/B19),E19/B19," - ")</f>
        <v>805.23076923076928</v>
      </c>
      <c r="G19" s="794">
        <f>SUBTOTAL(9,G9:G18)</f>
        <v>9716</v>
      </c>
      <c r="H19" s="795">
        <f>IF(ISNUMBER(G19/B19),G19/B19," - ")</f>
        <v>747.38461538461536</v>
      </c>
      <c r="I19" s="794">
        <f>SUBTOTAL(9,I9:I18)</f>
        <v>20085</v>
      </c>
      <c r="J19" s="795">
        <f>IF(ISNUMBER(I19/B19),I19/B19," - ")</f>
        <v>1545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8ift1jlOSClNhUmgTKueMABQ+dAdWdtmQgejS2GagSMXe8ukg1gDH24WZqZOCSS8YOdpzOf3ufKJ4/GtdV36g==" saltValue="fZTyrqYAgCYveD+wikYw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214</v>
      </c>
      <c r="B3" s="391" t="str">
        <f>Criterios!A10 &amp;"  "&amp;Criterios!B10</f>
        <v>Provincias  LLEIDA</v>
      </c>
      <c r="C3" s="415"/>
      <c r="F3" s="375"/>
      <c r="G3" s="375"/>
      <c r="H3" s="375"/>
    </row>
    <row r="4" spans="1:15" ht="13.5" thickBot="1">
      <c r="A4" s="375"/>
      <c r="B4" s="391" t="str">
        <f>Criterios!A11 &amp;"  "&amp;Criterios!B11</f>
        <v>Resumenes por Partidos Judiciales  LLEIDA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0.8571428571428571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48RMFXftV1mCZZoASqo8De6Vc27okT3BGHdqBeYTYxjpeAqz8lDkZkchCIFS6yB7JW5WUPzRX08rdY3hwr+rA==" saltValue="B40cYJ34D6GeSWx6ay73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LLEIDA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1232</v>
      </c>
      <c r="E9" s="404">
        <f t="shared" ref="E9:E13" si="0">IF(ISNUMBER(D9/B9),D9/B9," - ")</f>
        <v>205.33333333333334</v>
      </c>
      <c r="F9" s="403">
        <f>IF(ISNUMBER(Datos!N9),Datos!N9," - ")</f>
        <v>1795</v>
      </c>
      <c r="G9" s="404">
        <f t="shared" ref="G9:G13" si="1">IF(ISNUMBER(F9/B9),F9/B9," - ")</f>
        <v>299.16666666666669</v>
      </c>
      <c r="H9" s="403">
        <f>IF(ISNUMBER(Datos!O9),Datos!O9," - ")</f>
        <v>1639</v>
      </c>
      <c r="I9" s="404">
        <f>IF(ISNUMBER(H9/B9),H9/B9," - ")</f>
        <v>273.16666666666669</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26</v>
      </c>
      <c r="G10" s="404">
        <f>IF(ISNUMBER(F10/B10),F10/B10," - ")</f>
        <v>26</v>
      </c>
      <c r="H10" s="403">
        <f>IF(ISNUMBER(Datos!O10),Datos!O10," - ")</f>
        <v>30</v>
      </c>
      <c r="I10" s="404">
        <f t="shared" ref="I10:I12" si="2">IF(ISNUMBER(H10/B10),H10/B10," - ")</f>
        <v>30</v>
      </c>
      <c r="BZ10" s="1186">
        <f>Datos!EZ10</f>
        <v>0</v>
      </c>
    </row>
    <row r="11" spans="1:78">
      <c r="A11" s="402" t="str">
        <f>Datos!A11</f>
        <v xml:space="preserve">Jdos. Familia                                   </v>
      </c>
      <c r="B11" s="427">
        <f>Datos!AO11</f>
        <v>2</v>
      </c>
      <c r="C11" s="410">
        <f>Datos!AQ11</f>
        <v>2</v>
      </c>
      <c r="D11" s="403">
        <f>IF(ISNUMBER(Datos!M11),Datos!M11," - ")</f>
        <v>132</v>
      </c>
      <c r="E11" s="404">
        <f t="shared" si="0"/>
        <v>66</v>
      </c>
      <c r="F11" s="403">
        <f>IF(ISNUMBER(Datos!N11),Datos!N11," - ")</f>
        <v>415</v>
      </c>
      <c r="G11" s="404">
        <f t="shared" si="1"/>
        <v>207.5</v>
      </c>
      <c r="H11" s="403">
        <f>IF(ISNUMBER(Datos!O11),Datos!O11," - ")</f>
        <v>165</v>
      </c>
      <c r="I11" s="404">
        <f t="shared" si="2"/>
        <v>82.5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9</v>
      </c>
      <c r="C13" s="851">
        <f>Datos!AR13</f>
        <v>9</v>
      </c>
      <c r="D13" s="849">
        <f>SUBTOTAL(9,D9:D12)</f>
        <v>1384</v>
      </c>
      <c r="E13" s="850">
        <f t="shared" si="0"/>
        <v>153.77777777777777</v>
      </c>
      <c r="F13" s="849">
        <f>SUBTOTAL(9,F9:F12)</f>
        <v>2236</v>
      </c>
      <c r="G13" s="850">
        <f t="shared" si="1"/>
        <v>248.44444444444446</v>
      </c>
      <c r="H13" s="849">
        <f>SUBTOTAL(9,H9:H12)</f>
        <v>1834</v>
      </c>
      <c r="I13" s="850">
        <f>IF(ISNUMBER(H13/B13),H13/B13," - ")</f>
        <v>203.77777777777777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733</v>
      </c>
      <c r="E15" s="404">
        <f t="shared" ref="E15:E18" si="3">IF(ISNUMBER(D15/B15),D15/B15," - ")</f>
        <v>183.25</v>
      </c>
      <c r="F15" s="403">
        <f>IF(ISNUMBER(Datos!N15),Datos!N15," - ")</f>
        <v>2673</v>
      </c>
      <c r="G15" s="404">
        <f t="shared" ref="G15:G18" si="4">IF(ISNUMBER(F15/B15),F15/B15," - ")</f>
        <v>668.25</v>
      </c>
      <c r="H15" s="403">
        <f>IF(ISNUMBER(Datos!O15),Datos!O15," - ")</f>
        <v>115</v>
      </c>
      <c r="I15" s="404">
        <f t="shared" ref="I15:I17" si="5">IF(ISNUMBER(H15/B15),H15/B15," - ")</f>
        <v>28.75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48</v>
      </c>
      <c r="E17" s="404">
        <f>IF(ISNUMBER(D17/B17),D17/B17," - ")</f>
        <v>48</v>
      </c>
      <c r="F17" s="403">
        <f>IF(ISNUMBER(Datos!N17),Datos!N17," - ")</f>
        <v>179</v>
      </c>
      <c r="G17" s="404">
        <f>IF(ISNUMBER(F17/B17),F17/B17," - ")</f>
        <v>179</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781</v>
      </c>
      <c r="E18" s="850">
        <f t="shared" si="3"/>
        <v>156.19999999999999</v>
      </c>
      <c r="F18" s="849">
        <f>SUBTOTAL(9,F15:F17)</f>
        <v>2852</v>
      </c>
      <c r="G18" s="850">
        <f t="shared" si="4"/>
        <v>570.4</v>
      </c>
      <c r="H18" s="849">
        <f>SUBTOTAL(9,H15:H17)</f>
        <v>117</v>
      </c>
      <c r="I18" s="850">
        <f>IF(ISNUMBER(H18/B18),H18/B18," - ")</f>
        <v>23.4</v>
      </c>
      <c r="BZ18" s="1186"/>
    </row>
    <row r="19" spans="1:78" ht="14.25" thickTop="1" thickBot="1">
      <c r="A19" s="793" t="str">
        <f>Datos!A19</f>
        <v>TOTAL JURISDICCIONES</v>
      </c>
      <c r="B19" s="794">
        <f>Datos!AP19</f>
        <v>13</v>
      </c>
      <c r="C19" s="794">
        <f>Datos!AR19</f>
        <v>13</v>
      </c>
      <c r="D19" s="794">
        <f>SUBTOTAL(9,D8:D18)</f>
        <v>2165</v>
      </c>
      <c r="E19" s="795">
        <f>IF(ISNUMBER(D19/B19),D19/B19," - ")</f>
        <v>166.53846153846155</v>
      </c>
      <c r="F19" s="794">
        <f>SUBTOTAL(9,F8:F18)</f>
        <v>5088</v>
      </c>
      <c r="G19" s="795">
        <f>IF(ISNUMBER(F19/B19),F19/B19," - ")</f>
        <v>391.38461538461536</v>
      </c>
      <c r="H19" s="794">
        <f>SUBTOTAL(9,H8:H18)</f>
        <v>1951</v>
      </c>
      <c r="I19" s="795">
        <f>IF(ISNUMBER(H19/B19),H19/B19," - ")</f>
        <v>150.07692307692307</v>
      </c>
    </row>
    <row r="22" spans="1:78">
      <c r="A22" s="391" t="str">
        <f>Criterios!A4</f>
        <v>Fecha Informe: 24 sep. 2024</v>
      </c>
    </row>
    <row r="27" spans="1:78">
      <c r="A27" s="414"/>
    </row>
  </sheetData>
  <sheetProtection algorithmName="SHA-512" hashValue="JlHGKp2VP83Ys7CCeApueSxaLDP4CkzKMQtQzRW98S9zvfJyETlJ49iMHlu1ZRDznHwWlayPU5J1hvzylB11nQ==" saltValue="7rkKk3wSadDBzPa0V25N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LLEIDA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844</v>
      </c>
      <c r="C9" s="434">
        <f>IF(ISNUMBER(Datos!Q9),Datos!Q9," - ")</f>
        <v>1064</v>
      </c>
      <c r="D9" s="408">
        <f>IF(ISNUMBER(Datos!R9),Datos!R9," - ")</f>
        <v>13281</v>
      </c>
    </row>
    <row r="10" spans="1:4">
      <c r="A10" s="402" t="str">
        <f>Datos!A10</f>
        <v>Jdos. Violencia contra la mujer</v>
      </c>
      <c r="B10" s="433">
        <f>IF(ISNUMBER(Datos!P10),Datos!P10," - ")</f>
        <v>15</v>
      </c>
      <c r="C10" s="434">
        <f>IF(ISNUMBER(Datos!Q10),Datos!Q10," - ")</f>
        <v>3</v>
      </c>
      <c r="D10" s="408">
        <f>IF(ISNUMBER(Datos!R10),Datos!R10," - ")</f>
        <v>116</v>
      </c>
    </row>
    <row r="11" spans="1:4">
      <c r="A11" s="402" t="str">
        <f>Datos!A11</f>
        <v xml:space="preserve">Jdos. Familia                                   </v>
      </c>
      <c r="B11" s="433">
        <f>IF(ISNUMBER(Datos!P11),Datos!P11," - ")</f>
        <v>54</v>
      </c>
      <c r="C11" s="434">
        <f>IF(ISNUMBER(Datos!Q11),Datos!Q11," - ")</f>
        <v>61</v>
      </c>
      <c r="D11" s="408">
        <f>IF(ISNUMBER(Datos!R11),Datos!R11," - ")</f>
        <v>592</v>
      </c>
    </row>
    <row r="12" spans="1:4" ht="13.5" thickBot="1">
      <c r="A12" s="402" t="str">
        <f>Datos!A12</f>
        <v xml:space="preserve">Jdos. 1ª Instª. e Instr.                        </v>
      </c>
      <c r="B12" s="433">
        <f>IF(ISNUMBER(Datos!P12),Datos!P12," - ")</f>
        <v>0</v>
      </c>
      <c r="C12" s="434">
        <f>IF(ISNUMBER(Datos!Q12),Datos!Q12," - ")</f>
        <v>2</v>
      </c>
      <c r="D12" s="408">
        <f>IF(ISNUMBER(Datos!R12),Datos!R12," - ")</f>
        <v>259</v>
      </c>
    </row>
    <row r="13" spans="1:4" ht="14.25" thickTop="1" thickBot="1">
      <c r="A13" s="848" t="str">
        <f>Datos!A13</f>
        <v>TOTAL</v>
      </c>
      <c r="B13" s="849">
        <f>SUBTOTAL(9,B9:B12)</f>
        <v>913</v>
      </c>
      <c r="C13" s="853">
        <f>SUBTOTAL(9,C9:C12)</f>
        <v>1130</v>
      </c>
      <c r="D13" s="851">
        <f>SUBTOTAL(9,D9:D12)</f>
        <v>14248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306</v>
      </c>
      <c r="C15" s="434">
        <f>IF(ISNUMBER(Datos!Q15),Datos!Q15," - ")</f>
        <v>191</v>
      </c>
      <c r="D15" s="408">
        <f>IF(ISNUMBER(Datos!R15),Datos!R15," - ")</f>
        <v>818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306</v>
      </c>
      <c r="C18" s="853">
        <f>SUBTOTAL(9,C15:C17)</f>
        <v>193</v>
      </c>
      <c r="D18" s="851">
        <f>SUBTOTAL(9,D15:D17)</f>
        <v>818</v>
      </c>
    </row>
    <row r="19" spans="1:4" ht="16.5" customHeight="1" thickTop="1" thickBot="1">
      <c r="A19" s="793" t="str">
        <f>Datos!A19</f>
        <v>TOTAL JURISDICCIONES</v>
      </c>
      <c r="B19" s="798">
        <f>SUBTOTAL(9,B8:B18)</f>
        <v>1219</v>
      </c>
      <c r="C19" s="799">
        <f>SUBTOTAL(9,C8:C18)</f>
        <v>1323</v>
      </c>
      <c r="D19" s="800">
        <f>SUBTOTAL(9,D8:D18)</f>
        <v>15066</v>
      </c>
    </row>
    <row r="20" spans="1:4" ht="7.5" customHeight="1"/>
    <row r="21" spans="1:4" ht="6" customHeight="1"/>
    <row r="22" spans="1:4">
      <c r="A22" s="391" t="str">
        <f>Criterios!A4</f>
        <v>Fecha Informe: 24 sep. 2024</v>
      </c>
    </row>
    <row r="27" spans="1:4">
      <c r="A27" s="414"/>
    </row>
  </sheetData>
  <sheetProtection algorithmName="SHA-512" hashValue="yj3QnyKupqTRMK/w3B18q6xEq/z4DYRu7c4oHNAeTRMCwmm/tMv+P3sZSsBoDH1wsl2ZZZIoiKNLQHCQ/MTW0g==" saltValue="hEPXMcTIc9QHejEE1QT8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LLEIDA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0.52940300729492329</v>
      </c>
      <c r="C9" s="456">
        <f>IF(ISNUMBER(
   IF(J_V="SI",(Datos!J9-Datos!T9)/Datos!T9,(Datos!J9+Datos!Z9-(Datos!T9+Datos!AH9))/(Datos!T9+Datos!AH9))
     ),IF(J_V="SI",(Datos!J9-Datos!T9)/Datos!T9,(Datos!J9+Datos!Z9-(Datos!T9+Datos!AH9))/(Datos!T9+Datos!AH9))," - ")</f>
        <v>3.2587009532254491E-2</v>
      </c>
      <c r="D9" s="456">
        <f>IF(ISNUMBER(
   IF(J_V="SI",(Datos!K9-Datos!U9)/Datos!U9,(Datos!K9+Datos!AA9-(Datos!U9+Datos!AI9))/(Datos!U9+Datos!AI9))
     ),IF(J_V="SI",(Datos!K9-Datos!U9)/Datos!U9,(Datos!K9+Datos!AA9-(Datos!U9+Datos!AI9))/(Datos!U9+Datos!AI9))," - ")</f>
        <v>0.1172342084741357</v>
      </c>
      <c r="E9" s="456">
        <f>IF(ISNUMBER(
   IF(J_V="SI",(Datos!L9-Datos!V9)/Datos!V9,(Datos!L9+Datos!AB9-(Datos!V9+Datos!AJ9))/(Datos!V9+Datos!AJ9))
     ),IF(J_V="SI",(Datos!L9-Datos!V9)/Datos!V9,(Datos!L9+Datos!AB9-(Datos!V9+Datos!AJ9))/(Datos!V9+Datos!AJ9))," - ")</f>
        <v>0.39921052631578946</v>
      </c>
      <c r="F9" s="456">
        <f>IF(ISNUMBER((Datos!M9-Datos!W9)/Datos!W9),(Datos!M9-Datos!W9)/Datos!W9," - ")</f>
        <v>0.51537515375153753</v>
      </c>
      <c r="G9" s="457">
        <f>IF(ISNUMBER((Datos!N9-Datos!X9)/Datos!X9),(Datos!N9-Datos!X9)/Datos!X9," - ")</f>
        <v>0.32374631268436577</v>
      </c>
      <c r="H9" s="455">
        <f>IF(ISNUMBER(((NºAsuntos!G9/NºAsuntos!E9)-Datos!BD9)/Datos!BD9),((NºAsuntos!G9/NºAsuntos!E9)-Datos!BD9)/Datos!BD9," - ")</f>
        <v>8.1975851100649741E-2</v>
      </c>
      <c r="I9" s="456">
        <f>IF(ISNUMBER(((NºAsuntos!I9/NºAsuntos!G9)-Datos!BE9)/Datos!BE9),((NºAsuntos!I9/NºAsuntos!G9)-Datos!BE9)/Datos!BE9," - ")</f>
        <v>0.25238783032499812</v>
      </c>
      <c r="J9" s="461">
        <f>IF(ISNUMBER((('Resol  Asuntos'!D9/NºAsuntos!G9)-Datos!BF9)/Datos!BF9),(('Resol  Asuntos'!D9/NºAsuntos!G9)-Datos!BF9)/Datos!BF9," - ")</f>
        <v>-0.18678235469334017</v>
      </c>
      <c r="K9" s="462">
        <f>IF(ISNUMBER((((NºAsuntos!C9+NºAsuntos!E9)/NºAsuntos!G9)-Datos!BG9)/Datos!BG9),(((NºAsuntos!C9+NºAsuntos!E9)/NºAsuntos!G9)-Datos!BG9)/Datos!BG9," - ")</f>
        <v>0.1902611723367244</v>
      </c>
    </row>
    <row r="10" spans="1:11">
      <c r="A10" s="402" t="str">
        <f>Datos!A10</f>
        <v>Jdos. Violencia contra la mujer</v>
      </c>
      <c r="B10" s="455">
        <f>IF(ISNUMBER((Datos!I10-Datos!S10)/Datos!S10),(Datos!I10-Datos!S10)/Datos!S10," - ")</f>
        <v>0.24475524475524477</v>
      </c>
      <c r="C10" s="456">
        <f>IF(ISNUMBER((Datos!J10-Datos!T10)/Datos!T10),(Datos!J10-Datos!T10)/Datos!T10," - ")</f>
        <v>-3.5087719298245612E-2</v>
      </c>
      <c r="D10" s="456">
        <f>IF(ISNUMBER((Datos!K10-Datos!U10)/Datos!U10),(Datos!K10-Datos!U10)/Datos!U10," - ")</f>
        <v>0.51020408163265307</v>
      </c>
      <c r="E10" s="456">
        <f>IF(ISNUMBER((Datos!L10-Datos!V10)/Datos!V10),(Datos!L10-Datos!V10)/Datos!V10," - ")</f>
        <v>5.2980132450331126E-2</v>
      </c>
      <c r="F10" s="456">
        <f>IF(ISNUMBER((Datos!M10-Datos!W10)/Datos!W10),(Datos!M10-Datos!W10)/Datos!W10," - ")</f>
        <v>0.25</v>
      </c>
      <c r="G10" s="457">
        <f>IF(ISNUMBER((Datos!N10-Datos!X10)/Datos!X10),(Datos!N10-Datos!X10)/Datos!X10," - ")</f>
        <v>0.04</v>
      </c>
      <c r="H10" s="455">
        <f>IF(ISNUMBER(((NºAsuntos!G10/NºAsuntos!E10)-Datos!BD10)/Datos!BD10),((NºAsuntos!G10/NºAsuntos!E10)-Datos!BD10)/Datos!BD10," - ")</f>
        <v>0.56512059369202228</v>
      </c>
      <c r="I10" s="456">
        <f>IF(ISNUMBER(((NºAsuntos!I10/NºAsuntos!G10)-Datos!BE10)/Datos!BE10),((NºAsuntos!I10/NºAsuntos!G10)-Datos!BE10)/Datos!BE10," - ")</f>
        <v>-0.30275639878288885</v>
      </c>
      <c r="J10" s="461">
        <f>IF(ISNUMBER((('Resol  Asuntos'!D10/NºAsuntos!G10)-Datos!BF10)/Datos!BF10),(('Resol  Asuntos'!D10/NºAsuntos!G10)-Datos!BF10)/Datos!BF10," - ")</f>
        <v>-0.17229729729729718</v>
      </c>
      <c r="K10" s="462">
        <f>IF(ISNUMBER((((NºAsuntos!C10+NºAsuntos!E10)/NºAsuntos!G10)-Datos!BG10)/Datos!BG10),(((NºAsuntos!C10+NºAsuntos!E10)/NºAsuntos!G10)-Datos!BG10)/Datos!BG10," - ")</f>
        <v>-0.22858108108108108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5.0351288056206089E-2</v>
      </c>
      <c r="C11" s="456">
        <f>IF(ISNUMBER(
   IF(J_V="SI",(Datos!J11-Datos!T11)/Datos!T11,(Datos!J11+Datos!Z11-(Datos!T11+Datos!AH11))/(Datos!T11+Datos!AH11))
     ),IF(J_V="SI",(Datos!J11-Datos!T11)/Datos!T11,(Datos!J11+Datos!Z11-(Datos!T11+Datos!AH11))/(Datos!T11+Datos!AH11))," - ")</f>
        <v>-0.13303437967115098</v>
      </c>
      <c r="D11" s="456">
        <f>IF(ISNUMBER(
   IF(J_V="SI",(Datos!K11-Datos!U11)/Datos!U11,(Datos!K11+Datos!AA11-(Datos!U11+Datos!AI11))/(Datos!U11+Datos!AI11))
     ),IF(J_V="SI",(Datos!K11-Datos!U11)/Datos!U11,(Datos!K11+Datos!AA11-(Datos!U11+Datos!AI11))/(Datos!U11+Datos!AI11))," - ")</f>
        <v>-8.4406294706723894E-2</v>
      </c>
      <c r="E11" s="456">
        <f>IF(ISNUMBER(
   IF(J_V="SI",(Datos!L11-Datos!V11)/Datos!V11,(Datos!L11+Datos!AB11-(Datos!V11+Datos!AJ11))/(Datos!V11+Datos!AJ11))
     ),IF(J_V="SI",(Datos!L11-Datos!V11)/Datos!V11,(Datos!L11+Datos!AB11-(Datos!V11+Datos!AJ11))/(Datos!V11+Datos!AJ11))," - ")</f>
        <v>1.5776699029126214E-2</v>
      </c>
      <c r="F11" s="456">
        <f>IF(ISNUMBER((Datos!M11-Datos!W11)/Datos!W11),(Datos!M11-Datos!W11)/Datos!W11," - ")</f>
        <v>-2.2222222222222223E-2</v>
      </c>
      <c r="G11" s="457">
        <f>IF(ISNUMBER((Datos!N11-Datos!X11)/Datos!X11),(Datos!N11-Datos!X11)/Datos!X11," - ")</f>
        <v>-0.11702127659574468</v>
      </c>
      <c r="H11" s="455">
        <f>IF(ISNUMBER(((NºAsuntos!G11/NºAsuntos!E11)-Datos!BD11)/Datos!BD11),((NºAsuntos!G11/NºAsuntos!E11)-Datos!BD11)/Datos!BD11," - ")</f>
        <v>5.6089980760692694E-2</v>
      </c>
      <c r="I11" s="456">
        <f>IF(ISNUMBER(((NºAsuntos!I11/NºAsuntos!G11)-Datos!BE11)/Datos!BE11),((NºAsuntos!I11/NºAsuntos!G11)-Datos!BE11)/Datos!BE11," - ")</f>
        <v>0.10941861347087391</v>
      </c>
      <c r="J11" s="461">
        <f>IF(ISNUMBER((('Resol  Asuntos'!D11/NºAsuntos!G11)-Datos!BF11)/Datos!BF11),(('Resol  Asuntos'!D11/NºAsuntos!G11)-Datos!BF11)/Datos!BF11," - ")</f>
        <v>-0.69325797872340422</v>
      </c>
      <c r="K11" s="462">
        <f>IF(ISNUMBER((((NºAsuntos!C11+NºAsuntos!E11)/NºAsuntos!G11)-Datos!BG11)/Datos!BG11),(((NºAsuntos!C11+NºAsuntos!E11)/NºAsuntos!G11)-Datos!BG11)/Datos!BG11," - ")</f>
        <v>5.9199565003282849E-2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0.47103046014257938</v>
      </c>
      <c r="C13" s="855">
        <f>IF(ISNUMBER(
   IF(J_V="SI",(Datos!J13-Datos!T13)/Datos!T13,(Datos!J13+Datos!Z13-(Datos!T13+Datos!AH13))/(Datos!T13+Datos!AH13))
     ),IF(J_V="SI",(Datos!J13-Datos!T13)/Datos!T13,(Datos!J13+Datos!Z13-(Datos!T13+Datos!AH13))/(Datos!T13+Datos!AH13))," - ")</f>
        <v>1.0693144930303608E-2</v>
      </c>
      <c r="D13" s="855">
        <f>IF(ISNUMBER(
   IF(J_V="SI",(Datos!K13-Datos!U13)/Datos!U13,(Datos!K13+Datos!AA13-(Datos!U13+Datos!AI13))/(Datos!U13+Datos!AI13))
     ),IF(J_V="SI",(Datos!K13-Datos!U13)/Datos!U13,(Datos!K13+Datos!AA13-(Datos!U13+Datos!AI13))/(Datos!U13+Datos!AI13))," - ")</f>
        <v>9.0750816104461368E-2</v>
      </c>
      <c r="E13" s="855">
        <f>IF(ISNUMBER(
   IF(J_V="SI",(Datos!L13-Datos!V13)/Datos!V13,(Datos!L13+Datos!AB13-(Datos!V13+Datos!AJ13))/(Datos!V13+Datos!AJ13))
     ),IF(J_V="SI",(Datos!L13-Datos!V13)/Datos!V13,(Datos!L13+Datos!AB13-(Datos!V13+Datos!AJ13))/(Datos!V13+Datos!AJ13))," - ")</f>
        <v>0.35622667910447764</v>
      </c>
      <c r="F13" s="856">
        <f>IF(ISNUMBER((Datos!M13-Datos!W13)/Datos!W13),(Datos!M13-Datos!W13)/Datos!W13," - ")</f>
        <v>0.43568464730290457</v>
      </c>
      <c r="G13" s="857">
        <f>IF(ISNUMBER((Datos!N13-Datos!X13)/Datos!X13),(Datos!N13-Datos!X13)/Datos!X13," - ")</f>
        <v>0.20799567801188545</v>
      </c>
      <c r="H13" s="857">
        <f>IF(ISNUMBER(((NºAsuntos!G13/NºAsuntos!E13)-Datos!BD13)/Datos!BD13),((NºAsuntos!G13/NºAsuntos!E13)-Datos!BD13)/Datos!BD13," - ")</f>
        <v>7.9210660105623373E-2</v>
      </c>
      <c r="I13" s="857">
        <f>IF(ISNUMBER(((NºAsuntos!I13/NºAsuntos!G13)-Datos!BE13)/Datos!BE13),((NºAsuntos!I13/NºAsuntos!G13)-Datos!BE13)/Datos!BE13," - ")</f>
        <v>0.24338818644953608</v>
      </c>
      <c r="J13" s="857">
        <f>IF(ISNUMBER((('Resol  Asuntos'!D13/NºAsuntos!G13)-Datos!BF13)/Datos!BF13),(('Resol  Asuntos'!D13/NºAsuntos!G13)-Datos!BF13)/Datos!BF13," - ")</f>
        <v>-0.3111559401843827</v>
      </c>
      <c r="K13" s="857">
        <f>IF(ISNUMBER((((NºAsuntos!C13+NºAsuntos!E13)/NºAsuntos!G13)-Datos!BG13)/Datos!BG13),(((NºAsuntos!C13+NºAsuntos!E13)/NºAsuntos!G13)-Datos!BG13)/Datos!BG13," - ")</f>
        <v>0.17799415436306795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0.40678276810265812</v>
      </c>
      <c r="C15" s="456">
        <f>IF(ISNUMBER(
   IF(D_I="SI",(Datos!J15-Datos!T15)/Datos!T15,(Datos!J15+Datos!AD15-(Datos!T15+Datos!AL15))/(Datos!T15+Datos!AL15))
     ),IF(D_I="SI",(Datos!J15-Datos!T15)/Datos!T15,(Datos!J15+Datos!AD15-(Datos!T15+Datos!AL15))/(Datos!T15+Datos!AL15))," - ")</f>
        <v>0.11053864168618267</v>
      </c>
      <c r="D15" s="456">
        <f>IF(ISNUMBER(
   IF(D_I="SI",(Datos!K15-Datos!U15)/Datos!U15,(Datos!K15+Datos!AE15-(Datos!U15+Datos!AM15))/(Datos!U15+Datos!AM15))
     ),IF(D_I="SI",(Datos!K15-Datos!U15)/Datos!U15,(Datos!K15+Datos!AE15-(Datos!U15+Datos!AM15))/(Datos!U15+Datos!AM15))," - ")</f>
        <v>7.3813708260105443E-2</v>
      </c>
      <c r="E15" s="456">
        <f>IF(ISNUMBER(
   IF(D_I="SI",(Datos!L15-Datos!V15)/Datos!V15,(Datos!L15+Datos!AF15-(Datos!V15+Datos!AN15))/(Datos!V15+Datos!AN15))
     ),IF(D_I="SI",(Datos!L15-Datos!V15)/Datos!V15,(Datos!L15+Datos!AF15-(Datos!V15+Datos!AN15))/(Datos!V15+Datos!AN15))," - ")</f>
        <v>0.38384524011539112</v>
      </c>
      <c r="F15" s="456">
        <f>IF(ISNUMBER((Datos!M15-Datos!W15)/Datos!W15),(Datos!M15-Datos!W15)/Datos!W15," - ")</f>
        <v>0.31597845601436264</v>
      </c>
      <c r="G15" s="457">
        <f>IF(ISNUMBER((Datos!N15-Datos!X15)/Datos!X15),(Datos!N15-Datos!X15)/Datos!X15," - ")</f>
        <v>-2.3739956172388606E-2</v>
      </c>
      <c r="H15" s="455">
        <f>IF(ISNUMBER(((NºAsuntos!G15/NºAsuntos!E15)-Datos!BD15)/Datos!BD15),((NºAsuntos!G15/NºAsuntos!E15)-Datos!BD15)/Datos!BD15," - ")</f>
        <v>-3.3069478222131882E-2</v>
      </c>
      <c r="I15" s="456">
        <f>IF(ISNUMBER(((NºAsuntos!I15/NºAsuntos!G15)-Datos!BE15)/Datos!BE15),((NºAsuntos!I15/NºAsuntos!G15)-Datos!BE15)/Datos!BE15," - ")</f>
        <v>0.28872003539387486</v>
      </c>
      <c r="J15" s="461">
        <f>IF(ISNUMBER((('Resol  Asuntos'!D15/NºAsuntos!G15)-Datos!BF15)/Datos!BF15),(('Resol  Asuntos'!D15/NºAsuntos!G15)-Datos!BF15)/Datos!BF15," - ")</f>
        <v>0.22551839848146046</v>
      </c>
      <c r="K15" s="462">
        <f>IF(ISNUMBER((((NºAsuntos!C15+NºAsuntos!E15)/NºAsuntos!G15)-Datos!BG15)/Datos!BG15),(((NºAsuntos!C15+NºAsuntos!E15)/NºAsuntos!G15)-Datos!BG15)/Datos!BG15," - ")</f>
        <v>0.18894879227866168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0.58378378378378382</v>
      </c>
      <c r="C17" s="456">
        <f>IF(ISNUMBER(
   IF(D_I="SI",(Datos!J17-Datos!T17)/Datos!T17,(Datos!J17+Datos!AD17-(Datos!T17+Datos!AL17))/(Datos!T17+Datos!AL17))
     ),IF(D_I="SI",(Datos!J17-Datos!T17)/Datos!T17,(Datos!J17+Datos!AD17-(Datos!T17+Datos!AL17))/(Datos!T17+Datos!AL17))," - ")</f>
        <v>-6.8807339449541288E-3</v>
      </c>
      <c r="D17" s="456">
        <f>IF(ISNUMBER(
   IF(D_I="SI",(Datos!K17-Datos!U17)/Datos!U17,(Datos!K17+Datos!AE17-(Datos!U17+Datos!AM17))/(Datos!U17+Datos!AM17))
     ),IF(D_I="SI",(Datos!K17-Datos!U17)/Datos!U17,(Datos!K17+Datos!AE17-(Datos!U17+Datos!AM17))/(Datos!U17+Datos!AM17))," - ")</f>
        <v>4.6568627450980393E-2</v>
      </c>
      <c r="E17" s="456">
        <f>IF(ISNUMBER(
   IF(D_I="SI",(Datos!L17-Datos!V17)/Datos!V17,(Datos!L17+Datos!AF17-(Datos!V17+Datos!AN17))/(Datos!V17+Datos!AN17))
     ),IF(D_I="SI",(Datos!L17-Datos!V17)/Datos!V17,(Datos!L17+Datos!AF17-(Datos!V17+Datos!AN17))/(Datos!V17+Datos!AN17))," - ")</f>
        <v>0.40375586854460094</v>
      </c>
      <c r="F17" s="456">
        <f>IF(ISNUMBER((Datos!M17-Datos!W17)/Datos!W17),(Datos!M17-Datos!W17)/Datos!W17," - ")</f>
        <v>-0.35135135135135137</v>
      </c>
      <c r="G17" s="457">
        <f>IF(ISNUMBER((Datos!N17-Datos!X17)/Datos!X17),(Datos!N17-Datos!X17)/Datos!X17," - ")</f>
        <v>-5.2910052910052907E-2</v>
      </c>
      <c r="H17" s="455">
        <f>IF(ISNUMBER(((NºAsuntos!G17/NºAsuntos!E17)-Datos!BD17)/Datos!BD17),((NºAsuntos!G17/NºAsuntos!E17)-Datos!BD17)/Datos!BD17," - ")</f>
        <v>5.3819680297061002E-2</v>
      </c>
      <c r="I17" s="456">
        <f>IF(ISNUMBER(((NºAsuntos!I17/NºAsuntos!G17)-Datos!BE17)/Datos!BE17),((NºAsuntos!I17/NºAsuntos!G17)-Datos!BE17)/Datos!BE17," - ")</f>
        <v>0.34129366362107061</v>
      </c>
      <c r="J17" s="461">
        <f>IF(ISNUMBER((('Resol  Asuntos'!D17/NºAsuntos!G17)-Datos!BF17)/Datos!BF17),(('Resol  Asuntos'!D17/NºAsuntos!G17)-Datos!BF17)/Datos!BF17," - ")</f>
        <v>-0.38021393759098676</v>
      </c>
      <c r="K17" s="462">
        <f>IF(ISNUMBER((((NºAsuntos!C17+NºAsuntos!E17)/NºAsuntos!G17)-Datos!BG17)/Datos!BG17),(((NºAsuntos!C17+NºAsuntos!E17)/NºAsuntos!G17)-Datos!BG17)/Datos!BG17," - ")</f>
        <v>0.11706207786036722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0.4125886524822695</v>
      </c>
      <c r="C18" s="855">
        <f>IF(ISNUMBER(
   IF(Criterios!B14="SI",(Datos!J18-Datos!T18)/Datos!T18,(Datos!J18+Datos!AD18-(Datos!T18+Datos!AL18))/(Datos!T18+Datos!AL18))
     ),IF(Criterios!B14="SI",(Datos!J18-Datos!T18)/Datos!T18,(Datos!J18+Datos!AD18-(Datos!T18+Datos!AL18))/(Datos!T18+Datos!AL18))," - ")</f>
        <v>9.9660008499787511E-2</v>
      </c>
      <c r="D18" s="855">
        <f>IF(ISNUMBER(
   IF(Criterios!B14="SI",(Datos!K18-Datos!U18)/Datos!U18,(Datos!K18+Datos!AE18-(Datos!U18+Datos!AM18))/(Datos!U18+Datos!AM18))
     ),IF(Criterios!B14="SI",(Datos!K18-Datos!U18)/Datos!U18,(Datos!K18+Datos!AE18-(Datos!U18+Datos!AM18))/(Datos!U18+Datos!AM18))," - ")</f>
        <v>7.1282168071054433E-2</v>
      </c>
      <c r="E18" s="855">
        <f>IF(ISNUMBER(
   IF(Criterios!B14="SI",(Datos!L18-Datos!V18)/Datos!V18,(Datos!L18+Datos!AF18-(Datos!V18+Datos!AN18))/(Datos!V18+Datos!AN18))
     ),IF(Criterios!B14="SI",(Datos!L18-Datos!V18)/Datos!V18,(Datos!L18+Datos!AF18-(Datos!V18+Datos!AN18))/(Datos!V18+Datos!AN18))," - ")</f>
        <v>0.38453979692106127</v>
      </c>
      <c r="F18" s="856">
        <f>IF(ISNUMBER((Datos!M18-Datos!W18)/Datos!W18),(Datos!M18-Datos!W18)/Datos!W18," - ")</f>
        <v>0.23771790808240886</v>
      </c>
      <c r="G18" s="857">
        <f>IF(ISNUMBER((Datos!N18-Datos!X18)/Datos!X18),(Datos!N18-Datos!X18)/Datos!X18," - ")</f>
        <v>-2.5623505295524429E-2</v>
      </c>
      <c r="H18" s="857">
        <f>IF(ISNUMBER(((NºAsuntos!G18/NºAsuntos!E18)-Datos!BD18)/Datos!BD18),((NºAsuntos!G18/NºAsuntos!E18)-Datos!BD18)/Datos!BD18," - ")</f>
        <v>-2.5806012957993708E-2</v>
      </c>
      <c r="I18" s="857">
        <f>IF(ISNUMBER(((NºAsuntos!I18/NºAsuntos!G18)-Datos!BE18)/Datos!BE18),((NºAsuntos!I18/NºAsuntos!G18)-Datos!BE18)/Datos!BE18," - ")</f>
        <v>0.29241374325688352</v>
      </c>
      <c r="J18" s="857">
        <f>IF(ISNUMBER((('Resol  Asuntos'!D18/NºAsuntos!G18)-Datos!BF18)/Datos!BF18),(('Resol  Asuntos'!D18/NºAsuntos!G18)-Datos!BF18)/Datos!BF18," - ")</f>
        <v>0.15536125305906831</v>
      </c>
      <c r="K18" s="857">
        <f>IF(ISNUMBER((((NºAsuntos!C18+NºAsuntos!E18)/NºAsuntos!G18)-Datos!BG18)/Datos!BG18),(((NºAsuntos!C18+NºAsuntos!E18)/NºAsuntos!G18)-Datos!BG18)/Datos!BG18," - ")</f>
        <v>0.18572810189221631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0.44634968176712841</v>
      </c>
      <c r="C19" s="802">
        <f>IF(ISNUMBER(
   IF(J_V="SI",(Datos!J19-Datos!T19)/Datos!T19,(Datos!J19+Datos!Z19-(Datos!T19+Datos!AH19))/(Datos!T19+Datos!AH19))
     ),IF(J_V="SI",(Datos!J19-Datos!T19)/Datos!T19,(Datos!J19+Datos!Z19-(Datos!T19+Datos!AH19))/(Datos!T19+Datos!AH19))," - ")</f>
        <v>5.2800965503369206E-2</v>
      </c>
      <c r="D19" s="802">
        <f>IF(ISNUMBER(
   IF(J_V="SI",(Datos!K19-Datos!U19)/Datos!U19,(Datos!K19+Datos!AA19-(Datos!U19+Datos!AI19))/(Datos!U19+Datos!AI19))
     ),IF(J_V="SI",(Datos!K19-Datos!U19)/Datos!U19,(Datos!K19+Datos!AA19-(Datos!U19+Datos!AI19))/(Datos!U19+Datos!AI19))," - ")</f>
        <v>8.1237480525261516E-2</v>
      </c>
      <c r="E19" s="802">
        <f>IF(ISNUMBER(
   IF(J_V="SI",(Datos!L19-Datos!V19)/Datos!V19,(Datos!L19+Datos!AB19-(Datos!V19+Datos!AJ19))/(Datos!V19+Datos!AJ19))
     ),IF(J_V="SI",(Datos!L19-Datos!V19)/Datos!V19,(Datos!L19+Datos!AB19-(Datos!V19+Datos!AJ19))/(Datos!V19+Datos!AJ19))," - ")</f>
        <v>0.36800163465467922</v>
      </c>
      <c r="F19" s="803">
        <f>IF(ISNUMBER((Datos!M19-Datos!W19)/Datos!W19),(Datos!M19-Datos!W19)/Datos!W19," - ")</f>
        <v>0.35736677115987459</v>
      </c>
      <c r="G19" s="804">
        <f>IF(ISNUMBER((Datos!N19-Datos!X19)/Datos!X19),(Datos!N19-Datos!X19)/Datos!X19," - ")</f>
        <v>6.4880703223105907E-2</v>
      </c>
      <c r="H19" s="805">
        <f>IF(ISNUMBER((Tasas!B19-Datos!BD19)/Datos!BD19),(Tasas!B19-Datos!BD19)/Datos!BD19," - ")</f>
        <v>2.7010342841294964E-2</v>
      </c>
      <c r="I19" s="806">
        <f>IF(ISNUMBER((Tasas!C19-Datos!BE19)/Datos!BE19),(Tasas!C19-Datos!BE19)/Datos!BE19," - ")</f>
        <v>0.26521847354950062</v>
      </c>
      <c r="J19" s="807">
        <f>IF(ISNUMBER((Tasas!D19-Datos!BF19)/Datos!BF19),(Tasas!D19-Datos!BF19)/Datos!BF19," - ")</f>
        <v>-0.19032134121380404</v>
      </c>
      <c r="K19" s="807">
        <f>IF(ISNUMBER((Tasas!E19-Datos!BG19)/Datos!BG19),(Tasas!E19-Datos!BG19)/Datos!BG19," - ")</f>
        <v>0.18234247159637604</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dw2CyMNfx7ZN+64kncQhiopQQvbQ/YGagwIg9OmFdxaCbyJZd0fHVpZ9yAGM+pO/U1+L4ccngQge1Q6Z8KVg==" saltValue="uRfRpuphX3XvnZD5BSBu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LLEIDA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0.92271361099184201</v>
      </c>
      <c r="C9" s="443">
        <f>IF(ISNUMBER(NºAsuntos!I9/NºAsuntos!G9),NºAsuntos!I9/NºAsuntos!G9," - ")</f>
        <v>2.4741740344346206</v>
      </c>
      <c r="D9" s="444">
        <f>IF(ISNUMBER('Resol  Asuntos'!D9/NºAsuntos!G9),'Resol  Asuntos'!D9/NºAsuntos!G9," - ")</f>
        <v>0.28664495114006516</v>
      </c>
      <c r="E9" s="445">
        <f>IF(ISNUMBER((NºAsuntos!C9+NºAsuntos!E9)/NºAsuntos!G9),(NºAsuntos!C9+NºAsuntos!E9)/NºAsuntos!G9," - ")</f>
        <v>3.4739413680781759</v>
      </c>
      <c r="G9" s="463"/>
    </row>
    <row r="10" spans="1:7">
      <c r="A10" s="402" t="str">
        <f>Datos!A10</f>
        <v>Jdos. Violencia contra la mujer</v>
      </c>
      <c r="B10" s="442">
        <f>IF(ISNUMBER(NºAsuntos!G10/NºAsuntos!E10),NºAsuntos!G10/NºAsuntos!E10," - ")</f>
        <v>1.3454545454545455</v>
      </c>
      <c r="C10" s="443">
        <f>IF(ISNUMBER(NºAsuntos!I10/NºAsuntos!G10),NºAsuntos!I10/NºAsuntos!G10," - ")</f>
        <v>2.1486486486486487</v>
      </c>
      <c r="D10" s="444">
        <f>IF(ISNUMBER('Resol  Asuntos'!D10/NºAsuntos!G10),'Resol  Asuntos'!D10/NºAsuntos!G10," - ")</f>
        <v>0.27027027027027029</v>
      </c>
      <c r="E10" s="445">
        <f>IF(ISNUMBER((NºAsuntos!C10+NºAsuntos!E10)/NºAsuntos!G10),(NºAsuntos!C10+NºAsuntos!E10)/NºAsuntos!G10," - ")</f>
        <v>3.1486486486486487</v>
      </c>
      <c r="G10" s="463"/>
    </row>
    <row r="11" spans="1:7">
      <c r="A11" s="402" t="str">
        <f>Datos!A11</f>
        <v xml:space="preserve">Jdos. Familia                                   </v>
      </c>
      <c r="B11" s="442">
        <f>IF(ISNUMBER(NºAsuntos!G11/NºAsuntos!E11),NºAsuntos!G11/NºAsuntos!E11," - ")</f>
        <v>1.103448275862069</v>
      </c>
      <c r="C11" s="443">
        <f>IF(ISNUMBER(NºAsuntos!I11/NºAsuntos!G11),NºAsuntos!I11/NºAsuntos!G11," - ")</f>
        <v>1.3078125</v>
      </c>
      <c r="D11" s="444">
        <f>IF(ISNUMBER('Resol  Asuntos'!D11/NºAsuntos!G11),'Resol  Asuntos'!D11/NºAsuntos!G11," - ")</f>
        <v>0.20624999999999999</v>
      </c>
      <c r="E11" s="445">
        <f>IF(ISNUMBER((NºAsuntos!C11+NºAsuntos!E11)/NºAsuntos!G11),(NºAsuntos!C11+NºAsuntos!E11)/NºAsuntos!G11," - ")</f>
        <v>2.3078124999999998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0.94691101454751558</v>
      </c>
      <c r="C13" s="859">
        <f>IF(ISNUMBER(NºAsuntos!I13/NºAsuntos!G13),NºAsuntos!I13/NºAsuntos!G13," - ")</f>
        <v>2.3206304868316043</v>
      </c>
      <c r="D13" s="860">
        <f>IF(ISNUMBER('Resol  Asuntos'!D13/NºAsuntos!G13),'Resol  Asuntos'!D13/NºAsuntos!G13," - ")</f>
        <v>0.27613727055067838</v>
      </c>
      <c r="E13" s="861">
        <f>IF(ISNUMBER((NºAsuntos!C13+NºAsuntos!E13)/NºAsuntos!G13),(NºAsuntos!C13+NºAsuntos!E13)/NºAsuntos!G13," - ")</f>
        <v>3.3204309656823625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0.90194010965837201</v>
      </c>
      <c r="C15" s="443">
        <f>IF(ISNUMBER(NºAsuntos!I15/NºAsuntos!G15),NºAsuntos!I15/NºAsuntos!G15," - ")</f>
        <v>1.90671031096563</v>
      </c>
      <c r="D15" s="444">
        <f>IF(ISNUMBER('Resol  Asuntos'!D15/NºAsuntos!G15),'Resol  Asuntos'!D15/NºAsuntos!G15," - ")</f>
        <v>0.17138180967968203</v>
      </c>
      <c r="E15" s="445">
        <f>IF(ISNUMBER((NºAsuntos!C15+NºAsuntos!E15)/NºAsuntos!G15),(NºAsuntos!C15+NºAsuntos!E15)/NºAsuntos!G15," - ")</f>
        <v>2.9029693710544775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0.98614318706697457</v>
      </c>
      <c r="C17" s="443">
        <f>IF(ISNUMBER(NºAsuntos!I17/NºAsuntos!G17),NºAsuntos!I17/NºAsuntos!G17," - ")</f>
        <v>0.70023419203747073</v>
      </c>
      <c r="D17" s="444">
        <f>IF(ISNUMBER('Resol  Asuntos'!D17/NºAsuntos!G17),'Resol  Asuntos'!D17/NºAsuntos!G17," - ")</f>
        <v>0.11241217798594848</v>
      </c>
      <c r="E17" s="445">
        <f>IF(ISNUMBER((NºAsuntos!C17+NºAsuntos!E17)/NºAsuntos!G17),(NºAsuntos!C17+NºAsuntos!E17)/NºAsuntos!G17," - ")</f>
        <v>1.7002341920374706</v>
      </c>
      <c r="G17" s="463"/>
    </row>
    <row r="18" spans="1:7" ht="14.25" thickTop="1" thickBot="1">
      <c r="A18" s="848" t="str">
        <f>Datos!A18</f>
        <v>TOTAL</v>
      </c>
      <c r="B18" s="858">
        <f>IF(ISNUMBER(NºAsuntos!G18/NºAsuntos!E18),NºAsuntos!G18/NºAsuntos!E18," - ")</f>
        <v>0.90898550724637683</v>
      </c>
      <c r="C18" s="859">
        <f>IF(ISNUMBER(NºAsuntos!I18/NºAsuntos!G18),NºAsuntos!I18/NºAsuntos!G18," - ")</f>
        <v>1.7971938775510203</v>
      </c>
      <c r="D18" s="862">
        <f>IF(ISNUMBER('Resol  Asuntos'!D18/NºAsuntos!G18),'Resol  Asuntos'!D18/NºAsuntos!G18," - ")</f>
        <v>0.16602891156462585</v>
      </c>
      <c r="E18" s="861">
        <f>IF(ISNUMBER((NºAsuntos!C18+NºAsuntos!E18)/NºAsuntos!G18),(NºAsuntos!C18+NºAsuntos!E18)/NºAsuntos!G18," - ")</f>
        <v>2.7937925170068025</v>
      </c>
      <c r="G18" s="463"/>
    </row>
    <row r="19" spans="1:7" ht="15.75" customHeight="1" thickTop="1" thickBot="1">
      <c r="A19" s="793" t="str">
        <f>Datos!A19</f>
        <v>TOTAL JURISDICCIONES</v>
      </c>
      <c r="B19" s="808">
        <f>IF(ISNUMBER(NºAsuntos!G19/NºAsuntos!E19),NºAsuntos!G19/NºAsuntos!E19," - ")</f>
        <v>0.92816201757737871</v>
      </c>
      <c r="C19" s="809">
        <f>IF(ISNUMBER(NºAsuntos!I19/NºAsuntos!G19),NºAsuntos!I19/NºAsuntos!G19," - ")</f>
        <v>2.0672087278715523</v>
      </c>
      <c r="D19" s="810">
        <f>IF(ISNUMBER('Resol  Asuntos'!D19/NºAsuntos!G19),'Resol  Asuntos'!D19/NºAsuntos!G19," - ")</f>
        <v>0.22282832441333883</v>
      </c>
      <c r="E19" s="811">
        <f>IF(ISNUMBER((NºAsuntos!C19+NºAsuntos!E19)/NºAsuntos!G19),(NºAsuntos!C19+NºAsuntos!E19)/NºAsuntos!G19," - ")</f>
        <v>3.0654590366405929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MbjP1po8gUwAsogNS0L+h3tUZdLH00wQbFYLo+fXQV3P418KypnmmdIKbcD4Fk5plXD2GAozmh32C3XH7O76g==" saltValue="ho0tEHBtm5rYnIEjZoIu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LLEIDA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844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1064</v>
      </c>
      <c r="Y9" s="334">
        <f>SUM(W9:X9)</f>
        <v>1064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13281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1232</v>
      </c>
      <c r="AJ9" s="229" t="str">
        <f>IF(ISNUMBER(Datos!BW9),Datos!BW9," - ")</f>
        <v xml:space="preserve"> - </v>
      </c>
      <c r="AK9" s="228" t="str">
        <f>IF(ISNUMBER(Datos!BX9),Datos!BX9," - ")</f>
        <v xml:space="preserve"> - </v>
      </c>
      <c r="AL9" s="243">
        <f>IF(ISNUMBER(NºAsuntos!G9/NºAsuntos!E9),NºAsuntos!G9/NºAsuntos!E9," - ")</f>
        <v>0.92271361099184201</v>
      </c>
      <c r="AM9" s="260">
        <f>IF(ISNUMBER(((NºAsuntos!I9/NºAsuntos!G9)*11)/factor_trimestre),((NºAsuntos!I9/NºAsuntos!G9)*11)/factor_trimestre," - ")</f>
        <v>7.4225221033038622</v>
      </c>
      <c r="AN9" s="244">
        <f>IF(ISNUMBER('Resol  Asuntos'!D9/NºAsuntos!G9),'Resol  Asuntos'!D9/NºAsuntos!G9," - ")</f>
        <v>0.28664495114006516</v>
      </c>
      <c r="AO9" s="245">
        <f>IF(ISNUMBER((NºAsuntos!C9+NºAsuntos!E9)/NºAsuntos!G9),(NºAsuntos!C9+NºAsuntos!E9)/NºAsuntos!G9," - ")</f>
        <v>3.4739413680781759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178</v>
      </c>
      <c r="G10" s="333">
        <f>IF(ISNUMBER(Datos!I10),Datos!I10," - ")</f>
        <v>178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74</v>
      </c>
      <c r="X10" s="226">
        <f>IF(ISNUMBER(Datos!Q10),Datos!Q10," - ")</f>
        <v>3</v>
      </c>
      <c r="Y10" s="334">
        <f t="shared" ref="Y10:Y12" si="0">SUM(W10:X10)</f>
        <v>77</v>
      </c>
      <c r="Z10" s="335" t="str">
        <f>IF(ISNUMBER(Datos!CC10),Datos!CC10," - ")</f>
        <v xml:space="preserve"> - </v>
      </c>
      <c r="AA10" s="332">
        <f>IF(ISNUMBER(Datos!L10),Datos!L10,"-")</f>
        <v>159</v>
      </c>
      <c r="AB10" s="334">
        <f>IF(ISNUMBER(Datos!R10),Datos!R10," - ")</f>
        <v>116</v>
      </c>
      <c r="AC10" s="334">
        <f t="shared" ref="AC10:AC12" si="1">IF(ISNUMBER(AA10+AB10),AA10+AB10," - ")</f>
        <v>275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1.3454545454545455</v>
      </c>
      <c r="AM10" s="260">
        <f>IF(ISNUMBER(((NºAsuntos!I10/NºAsuntos!G10)*11)/factor_trimestre),((NºAsuntos!I10/NºAsuntos!G10)*11)/factor_trimestre," - ")</f>
        <v>6.4459459459459465</v>
      </c>
      <c r="AN10" s="244">
        <f>IF(ISNUMBER('Resol  Asuntos'!D10/NºAsuntos!G10),'Resol  Asuntos'!D10/NºAsuntos!G10," - ")</f>
        <v>0.27027027027027029</v>
      </c>
      <c r="AO10" s="245">
        <f>IF(ISNUMBER((NºAsuntos!C10+NºAsuntos!E10)/NºAsuntos!G10),(NºAsuntos!C10+NºAsuntos!E10)/NºAsuntos!G10," - ")</f>
        <v>3.1486486486486487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61</v>
      </c>
      <c r="Y11" s="334">
        <f t="shared" si="0"/>
        <v>61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592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132</v>
      </c>
      <c r="AJ11" s="231" t="str">
        <f>IF(ISNUMBER(Datos!BW11),Datos!BW11," - ")</f>
        <v xml:space="preserve"> - </v>
      </c>
      <c r="AK11" s="232" t="str">
        <f>IF(ISNUMBER(Datos!BX11),Datos!BX11," - ")</f>
        <v xml:space="preserve"> - </v>
      </c>
      <c r="AL11" s="243">
        <f>IF(ISNUMBER(NºAsuntos!G11/NºAsuntos!E11),NºAsuntos!G11/NºAsuntos!E11," - ")</f>
        <v>1.103448275862069</v>
      </c>
      <c r="AM11" s="260">
        <f>IF(ISNUMBER(((NºAsuntos!I11/NºAsuntos!G11)*11)/factor_trimestre),((NºAsuntos!I11/NºAsuntos!G11)*11)/factor_trimestre," - ")</f>
        <v>3.9234375000000004</v>
      </c>
      <c r="AN11" s="244">
        <f>IF(ISNUMBER('Resol  Asuntos'!D11/NºAsuntos!G11),'Resol  Asuntos'!D11/NºAsuntos!G11," - ")</f>
        <v>0.20624999999999999</v>
      </c>
      <c r="AO11" s="245">
        <f>IF(ISNUMBER((NºAsuntos!C11+NºAsuntos!E11)/NºAsuntos!G11),(NºAsuntos!C11+NºAsuntos!E11)/NºAsuntos!G11," - ")</f>
        <v>2.3078124999999998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178</v>
      </c>
      <c r="G13" s="866">
        <f t="shared" si="3"/>
        <v>178</v>
      </c>
      <c r="H13" s="865">
        <f t="shared" si="3"/>
        <v>0</v>
      </c>
      <c r="I13" s="867">
        <f t="shared" si="3"/>
        <v>0</v>
      </c>
      <c r="J13" s="867">
        <f t="shared" si="3"/>
        <v>0</v>
      </c>
      <c r="K13" s="867">
        <f t="shared" si="3"/>
        <v>0</v>
      </c>
      <c r="L13" s="867">
        <f t="shared" si="3"/>
        <v>913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74</v>
      </c>
      <c r="X13" s="867">
        <f t="shared" si="4"/>
        <v>1130</v>
      </c>
      <c r="Y13" s="868">
        <f t="shared" si="4"/>
        <v>1204</v>
      </c>
      <c r="Z13" s="868">
        <f t="shared" si="4"/>
        <v>0</v>
      </c>
      <c r="AA13" s="868">
        <f t="shared" si="4"/>
        <v>159</v>
      </c>
      <c r="AB13" s="868">
        <f t="shared" si="4"/>
        <v>14248</v>
      </c>
      <c r="AC13" s="868">
        <f t="shared" si="4"/>
        <v>275</v>
      </c>
      <c r="AD13" s="868">
        <f t="shared" si="4"/>
        <v>0</v>
      </c>
      <c r="AE13" s="872">
        <f t="shared" si="4"/>
        <v>0</v>
      </c>
      <c r="AF13" s="865">
        <f t="shared" si="4"/>
        <v>0</v>
      </c>
      <c r="AG13" s="873">
        <f t="shared" si="4"/>
        <v>0</v>
      </c>
      <c r="AH13" s="870">
        <f t="shared" si="4"/>
        <v>0</v>
      </c>
      <c r="AI13" s="865">
        <f t="shared" si="4"/>
        <v>1384</v>
      </c>
      <c r="AJ13" s="867">
        <f t="shared" si="4"/>
        <v>0</v>
      </c>
      <c r="AK13" s="870">
        <f>SUBTOTAL(9,AK9:AK12)</f>
        <v>0</v>
      </c>
      <c r="AL13" s="874">
        <f>IF(ISNUMBER(NºAsuntos!G13/NºAsuntos!E13),NºAsuntos!G13/NºAsuntos!E13," - ")</f>
        <v>0.94691101454751558</v>
      </c>
      <c r="AM13" s="874">
        <f>IF(ISNUMBER(((NºAsuntos!I13/NºAsuntos!G13)*11)/factor_trimestre),((NºAsuntos!I13/NºAsuntos!G13)*11)/factor_trimestre," - ")</f>
        <v>6.9618914604948126</v>
      </c>
      <c r="AN13" s="875">
        <f>IF(ISNUMBER('Resol  Asuntos'!D13/NºAsuntos!G13),'Resol  Asuntos'!D13/NºAsuntos!G13," - ")</f>
        <v>0.27613727055067838</v>
      </c>
      <c r="AO13" s="876">
        <f>IF(ISNUMBER((NºAsuntos!C13+NºAsuntos!E13)/NºAsuntos!G13),(NºAsuntos!C13+NºAsuntos!E13)/NºAsuntos!G13," - ")</f>
        <v>3.3204309656823625</v>
      </c>
      <c r="AP13" s="877" t="str">
        <f t="shared" si="2"/>
        <v xml:space="preserve"> - </v>
      </c>
      <c r="AQ13" s="877">
        <f>IF(ISNUMBER((H13-W13+K13)/(F13)),(H13-W13+K13)/(F13)," - ")</f>
        <v>-0.4157303370786517</v>
      </c>
      <c r="AR13" s="878">
        <f>IF(ISNUMBER((Datos!P13-Datos!Q13)/(Datos!R13-Datos!P13+Datos!Q13)),(Datos!P13-Datos!Q13)/(Datos!R13-Datos!P13+Datos!Q13)," - ")</f>
        <v>-1.5001728309713101E-2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7690</v>
      </c>
      <c r="G15" s="333">
        <f>IF(ISNUMBER(IF(D_I="SI",Datos!I15,Datos!I15+Datos!AC15)),IF(D_I="SI",Datos!I15,Datos!I15+Datos!AC15)," - ")</f>
        <v>7674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306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4277</v>
      </c>
      <c r="X15" s="226">
        <f>IF(ISNUMBER(Datos!Q15),Datos!Q15," - ")</f>
        <v>191</v>
      </c>
      <c r="Y15" s="334">
        <f>SUM(W15)</f>
        <v>4277</v>
      </c>
      <c r="Z15" s="335" t="str">
        <f>IF(ISNUMBER(Datos!CC15),Datos!CC15," - ")</f>
        <v xml:space="preserve"> - </v>
      </c>
      <c r="AA15" s="332">
        <f>IF(ISNUMBER(IF(D_I="SI",Datos!L15,Datos!L15+Datos!AF15)),IF(D_I="SI",Datos!L15,Datos!L15+Datos!AF15)," - ")</f>
        <v>8155</v>
      </c>
      <c r="AB15" s="334">
        <f>IF(ISNUMBER(Datos!R15),Datos!R15," - ")</f>
        <v>818</v>
      </c>
      <c r="AC15" s="334">
        <f t="shared" ref="AC15:AC17" si="6">IF(ISNUMBER(AA15+AB15),AA15+AB15," - ")</f>
        <v>8973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733</v>
      </c>
      <c r="AJ15" s="231" t="str">
        <f>IF(ISNUMBER(Datos!BW15),Datos!BW15," - ")</f>
        <v xml:space="preserve"> - </v>
      </c>
      <c r="AK15" s="232" t="str">
        <f>IF(ISNUMBER(Datos!BX15),Datos!BX15," - ")</f>
        <v xml:space="preserve"> - </v>
      </c>
      <c r="AL15" s="243">
        <f>IF(ISNUMBER(NºAsuntos!G15/NºAsuntos!E15),NºAsuntos!G15/NºAsuntos!E15," - ")</f>
        <v>0.90194010965837201</v>
      </c>
      <c r="AM15" s="260">
        <f>IF(ISNUMBER(((NºAsuntos!I15/NºAsuntos!G15)*11)/factor_trimestre),((NºAsuntos!I15/NºAsuntos!G15)*11)/factor_trimestre," - ")</f>
        <v>5.7201309328968906</v>
      </c>
      <c r="AN15" s="244">
        <f>IF(ISNUMBER('Resol  Asuntos'!D15/NºAsuntos!G15),'Resol  Asuntos'!D15/NºAsuntos!G15," - ")</f>
        <v>0.17138180967968203</v>
      </c>
      <c r="AO15" s="245">
        <f>IF(ISNUMBER((NºAsuntos!C15+NºAsuntos!E15)/NºAsuntos!G15),(NºAsuntos!C15+NºAsuntos!E15)/NºAsuntos!G15," - ")</f>
        <v>2.9029693710544775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427</v>
      </c>
      <c r="X17" s="226">
        <f>IF(ISNUMBER(Datos!Q17),Datos!Q17," - ")</f>
        <v>2</v>
      </c>
      <c r="Y17" s="334">
        <f t="shared" si="7"/>
        <v>429</v>
      </c>
      <c r="Z17" s="335" t="str">
        <f>IF(ISNUMBER(Datos!CC17),Datos!CC17," - ")</f>
        <v xml:space="preserve"> - </v>
      </c>
      <c r="AA17" s="332">
        <f>IF(ISNUMBER(Datos!L17),Datos!L17,"-")</f>
        <v>299</v>
      </c>
      <c r="AB17" s="334">
        <f>IF(ISNUMBER(Datos!R17),Datos!R17," - ")</f>
        <v>0</v>
      </c>
      <c r="AC17" s="334">
        <f t="shared" si="6"/>
        <v>299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48</v>
      </c>
      <c r="AJ17" s="231" t="str">
        <f>IF(ISNUMBER(Datos!BW17),Datos!BW17," - ")</f>
        <v xml:space="preserve"> - </v>
      </c>
      <c r="AK17" s="232" t="str">
        <f>IF(ISNUMBER(Datos!BX17),Datos!BX17," - ")</f>
        <v xml:space="preserve"> - </v>
      </c>
      <c r="AL17" s="243">
        <f>IF(ISNUMBER(NºAsuntos!G17/NºAsuntos!E17),NºAsuntos!G17/NºAsuntos!E17," - ")</f>
        <v>0.98614318706697457</v>
      </c>
      <c r="AM17" s="260">
        <f>IF(ISNUMBER(((NºAsuntos!I17/NºAsuntos!G17)*11)/factor_trimestre),((NºAsuntos!I17/NºAsuntos!G17)*11)/factor_trimestre," - ")</f>
        <v>2.1007025761124121</v>
      </c>
      <c r="AN17" s="244">
        <f>IF(ISNUMBER('Resol  Asuntos'!D17/NºAsuntos!G17),'Resol  Asuntos'!D17/NºAsuntos!G17," - ")</f>
        <v>0.11241217798594848</v>
      </c>
      <c r="AO17" s="245">
        <f>IF(ISNUMBER((NºAsuntos!C17+NºAsuntos!E17)/NºAsuntos!G17),(NºAsuntos!C17+NºAsuntos!E17)/NºAsuntos!G17," - ")</f>
        <v>1.7002341920374706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7690</v>
      </c>
      <c r="G18" s="866">
        <f>SUBTOTAL(9,G15:G17)</f>
        <v>7967</v>
      </c>
      <c r="H18" s="865">
        <f t="shared" ref="H18:O18" si="10">SUBTOTAL(9,H14:H17)</f>
        <v>0</v>
      </c>
      <c r="I18" s="867">
        <f t="shared" si="10"/>
        <v>0</v>
      </c>
      <c r="J18" s="867">
        <f t="shared" si="10"/>
        <v>0</v>
      </c>
      <c r="K18" s="867">
        <f t="shared" si="10"/>
        <v>0</v>
      </c>
      <c r="L18" s="867">
        <f t="shared" si="10"/>
        <v>306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4704</v>
      </c>
      <c r="X18" s="867">
        <f t="shared" si="11"/>
        <v>193</v>
      </c>
      <c r="Y18" s="868">
        <f t="shared" si="11"/>
        <v>4706</v>
      </c>
      <c r="Z18" s="868">
        <f t="shared" si="11"/>
        <v>0</v>
      </c>
      <c r="AA18" s="868">
        <f t="shared" si="11"/>
        <v>8454</v>
      </c>
      <c r="AB18" s="868">
        <f t="shared" si="11"/>
        <v>818</v>
      </c>
      <c r="AC18" s="868">
        <f t="shared" si="11"/>
        <v>9272</v>
      </c>
      <c r="AD18" s="868">
        <f t="shared" si="11"/>
        <v>0</v>
      </c>
      <c r="AE18" s="872">
        <f t="shared" si="11"/>
        <v>0</v>
      </c>
      <c r="AF18" s="865">
        <f t="shared" si="11"/>
        <v>0</v>
      </c>
      <c r="AG18" s="873">
        <f t="shared" si="11"/>
        <v>0</v>
      </c>
      <c r="AH18" s="870">
        <f t="shared" si="11"/>
        <v>0</v>
      </c>
      <c r="AI18" s="865">
        <f t="shared" si="11"/>
        <v>781</v>
      </c>
      <c r="AJ18" s="867">
        <f t="shared" si="11"/>
        <v>0</v>
      </c>
      <c r="AK18" s="870">
        <f t="shared" si="11"/>
        <v>0</v>
      </c>
      <c r="AL18" s="874">
        <f>IF(ISNUMBER(NºAsuntos!G18/NºAsuntos!E18),NºAsuntos!G18/NºAsuntos!E18," - ")</f>
        <v>0.90898550724637683</v>
      </c>
      <c r="AM18" s="874">
        <f>IF(ISNUMBER(((NºAsuntos!I18/NºAsuntos!G18)*11)/factor_trimestre),((NºAsuntos!I18/NºAsuntos!G18)*11)/factor_trimestre," - ")</f>
        <v>5.391581632653061</v>
      </c>
      <c r="AN18" s="875">
        <f>IF(ISNUMBER('Resol  Asuntos'!D18/NºAsuntos!G18),'Resol  Asuntos'!D18/NºAsuntos!G18," - ")</f>
        <v>0.16602891156462585</v>
      </c>
      <c r="AO18" s="876">
        <f>IF(ISNUMBER((NºAsuntos!C18+NºAsuntos!E18)/NºAsuntos!G18),(NºAsuntos!C18+NºAsuntos!E18)/NºAsuntos!G18," - ")</f>
        <v>2.7937925170068025</v>
      </c>
      <c r="AP18" s="877" t="str">
        <f t="shared" si="2"/>
        <v xml:space="preserve"> - </v>
      </c>
      <c r="AQ18" s="877">
        <f>IF(ISNUMBER((H18-W18+K18)/(F18)),(H18-W18+K18)/(F18)," - ")</f>
        <v>-0.611703511053316</v>
      </c>
      <c r="AR18" s="878">
        <f>IF(ISNUMBER((Datos!P18-Datos!Q18)/(Datos!R18-Datos!P18+Datos!Q18)),(Datos!P18-Datos!Q18)/(Datos!R18-Datos!P18+Datos!Q18)," - ")</f>
        <v>0.16028368794326242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7868</v>
      </c>
      <c r="G19" s="821">
        <f t="shared" si="13"/>
        <v>8145</v>
      </c>
      <c r="H19" s="820">
        <f t="shared" si="13"/>
        <v>0</v>
      </c>
      <c r="I19" s="822">
        <f t="shared" si="13"/>
        <v>0</v>
      </c>
      <c r="J19" s="822">
        <f t="shared" si="13"/>
        <v>0</v>
      </c>
      <c r="K19" s="881">
        <f t="shared" si="13"/>
        <v>0</v>
      </c>
      <c r="L19" s="822">
        <f t="shared" si="13"/>
        <v>1219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4778</v>
      </c>
      <c r="X19" s="821">
        <f t="shared" si="14"/>
        <v>1323</v>
      </c>
      <c r="Y19" s="828">
        <f t="shared" si="14"/>
        <v>5910</v>
      </c>
      <c r="Z19" s="828">
        <f t="shared" si="14"/>
        <v>0</v>
      </c>
      <c r="AA19" s="828">
        <f t="shared" si="14"/>
        <v>8613</v>
      </c>
      <c r="AB19" s="828">
        <f t="shared" si="14"/>
        <v>15066</v>
      </c>
      <c r="AC19" s="828">
        <f t="shared" si="14"/>
        <v>9547</v>
      </c>
      <c r="AD19" s="828">
        <f t="shared" si="14"/>
        <v>0</v>
      </c>
      <c r="AE19" s="830">
        <f t="shared" si="14"/>
        <v>0</v>
      </c>
      <c r="AF19" s="831">
        <f t="shared" si="14"/>
        <v>0</v>
      </c>
      <c r="AG19" s="832">
        <f t="shared" si="14"/>
        <v>0</v>
      </c>
      <c r="AH19" s="830">
        <f t="shared" si="14"/>
        <v>0</v>
      </c>
      <c r="AI19" s="820">
        <f t="shared" si="14"/>
        <v>2165</v>
      </c>
      <c r="AJ19" s="820">
        <f t="shared" si="14"/>
        <v>0</v>
      </c>
      <c r="AK19" s="830">
        <f t="shared" si="14"/>
        <v>0</v>
      </c>
      <c r="AL19" s="884">
        <f>IF(ISNUMBER(NºAsuntos!G19/NºAsuntos!E19),NºAsuntos!G19/NºAsuntos!E19," - ")</f>
        <v>0.92816201757737871</v>
      </c>
      <c r="AM19" s="885">
        <f>IF(ISNUMBER(((NºAsuntos!I19/NºAsuntos!G19)*11)/factor_trimestre),((NºAsuntos!I19/NºAsuntos!G19)*11)/factor_trimestre," - ")</f>
        <v>6.2016261836146569</v>
      </c>
      <c r="AN19" s="885">
        <f>IF(ISNUMBER('Resol  Asuntos'!D19/NºAsuntos!G19),'Resol  Asuntos'!D19/NºAsuntos!G19," - ")</f>
        <v>0.22282832441333883</v>
      </c>
      <c r="AO19" s="886">
        <f>IF(ISNUMBER((NºAsuntos!C19+NºAsuntos!E19)/NºAsuntos!G19),(NºAsuntos!C19+NºAsuntos!E19)/NºAsuntos!G19," - ")</f>
        <v>3.0654590366405929</v>
      </c>
      <c r="AP19" s="887" t="str">
        <f t="shared" si="2"/>
        <v xml:space="preserve"> - </v>
      </c>
      <c r="AQ19" s="888">
        <f>IF(OR(ISNUMBER(FIND("01",Criterios!A8,1)),ISNUMBER(FIND("02",Criterios!A8,1)),ISNUMBER(FIND("03",Criterios!A8,1)),ISNUMBER(FIND("04",Criterios!A8,1))),(I19-W19+K19)/(F19-K19),(H19-W19+K19)/(F19-K19))</f>
        <v>-0.60726995424504326</v>
      </c>
      <c r="AR19" s="889">
        <f>IF(ISNUMBER((Datos!P19-Datos!Q19)/(Datos!R19-Datos!P19+Datos!Q19)),(Datos!P19-Datos!Q19)/(Datos!R19-Datos!P19+Datos!Q19)," - ")</f>
        <v>-6.8556361239288065E-3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3258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3.1001792062897122</v>
      </c>
      <c r="F21" s="252">
        <f>IF(ISNUMBER(STDEV(F8:F18)),STDEV(F8:F18),"-")</f>
        <v>4337.0552221524686</v>
      </c>
      <c r="G21" s="253">
        <f>IF(ISNUMBER(STDEV(G8:G18)),STDEV(G8:G18),"-")</f>
        <v>4166.5261909653227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2363.79984347237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567.83366528286376</v>
      </c>
      <c r="AJ21" s="252">
        <f t="shared" si="18"/>
        <v>0</v>
      </c>
      <c r="AK21" s="254">
        <f t="shared" si="18"/>
        <v>0</v>
      </c>
      <c r="AL21" s="249">
        <f t="shared" si="18"/>
        <v>0.16073501936688284</v>
      </c>
      <c r="AM21" s="250">
        <f t="shared" si="18"/>
        <v>1.8613754710539223</v>
      </c>
      <c r="AN21" s="250">
        <f t="shared" si="18"/>
        <v>6.6822033475888415E-2</v>
      </c>
      <c r="AO21" s="251">
        <f t="shared" si="18"/>
        <v>0.62030221398045549</v>
      </c>
      <c r="AP21" s="291" t="str">
        <f t="shared" si="18"/>
        <v>-</v>
      </c>
      <c r="AQ21" s="292">
        <f t="shared" si="18"/>
        <v>0.13857396024813651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DffSaPntjkfTx1J06sgG7U+l8TLn/jrvFGDxPZt7B1F8h916a29apOrtWcF846qLNIEhZW1yViY94Lgv3nUaA==" saltValue="oK8qoSh/1jljTTIvitqb4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LLEIDA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0.51537515375153753</v>
      </c>
      <c r="I9" s="350">
        <f>IF(ISNUMBER((Tasas!C9-Datos!BE9)/Datos!BE9),(Tasas!C9-Datos!BE9)/Datos!BE9," - ")</f>
        <v>0.25238783032499812</v>
      </c>
      <c r="J9" s="349">
        <f>IF(ISNUMBER((Tasas!D9-Datos!BF9)/Datos!BF9),(Tasas!D9-Datos!BF9)/Datos!BF9," - ")</f>
        <v>-0.18678235469334017</v>
      </c>
      <c r="K9" s="351">
        <f>IF(ISNUMBER((Tasas!E9-Datos!BG9)/Datos!BG9),(Tasas!E9-Datos!BG9)/Datos!BG9," - ")</f>
        <v>0.1902611723367244</v>
      </c>
      <c r="M9" t="e">
        <f>IF(Monitorios="SI",Datos!CE9,0)</f>
        <v>#REF!</v>
      </c>
      <c r="N9" t="e">
        <f>IF(Monitorios="SI",Datos!CF9,0)</f>
        <v>#REF!</v>
      </c>
      <c r="O9" t="e">
        <f>IF(Monitorios="SI",Datos!CG9,0)</f>
        <v>#REF!</v>
      </c>
      <c r="P9" t="e">
        <f>IF(Monitorios="SI",Datos!CH9,0)</f>
        <v>#REF!</v>
      </c>
      <c r="Q9">
        <f>IF(J_V="SI",0,Datos!AG9)</f>
        <v>149</v>
      </c>
      <c r="R9">
        <f>IF(J_V="SI",0,Datos!AH9)</f>
        <v>178</v>
      </c>
      <c r="S9">
        <f>IF(J_V="SI",0,Datos!AI9)</f>
        <v>126</v>
      </c>
      <c r="T9">
        <f>IF(J_V="SI",0,Datos!AJ9)</f>
        <v>189</v>
      </c>
    </row>
    <row r="10" spans="2:20" ht="14.25">
      <c r="B10" s="275" t="s">
        <v>242</v>
      </c>
      <c r="C10" s="7" t="str">
        <f>Datos!A10</f>
        <v>Jdos. Violencia contra la mujer</v>
      </c>
      <c r="D10" s="352">
        <f>IF(ISNUMBER((Datos!I10-Datos!S10)/Datos!S10),(Datos!I10-Datos!S10)/Datos!S10," - ")</f>
        <v>0.24475524475524477</v>
      </c>
      <c r="E10" s="348">
        <f>IF(ISNUMBER((Datos!J10-Datos!T10)/Datos!T10),(Datos!J10-Datos!T10)/Datos!T10," - ")</f>
        <v>-3.5087719298245612E-2</v>
      </c>
      <c r="F10" s="348">
        <f>IF(ISNUMBER((Datos!K10-Datos!U10)/Datos!U10),(Datos!K10-Datos!U10)/Datos!U10," - ")</f>
        <v>0.51020408163265307</v>
      </c>
      <c r="G10" s="349">
        <f>IF(ISNUMBER((Datos!L10-Datos!V10)/Datos!V10),(Datos!L10-Datos!V10)/Datos!V10," - ")</f>
        <v>5.2980132450331126E-2</v>
      </c>
      <c r="H10" s="230">
        <f>IF(ISNUMBER((Datos!M10-Datos!W10)/Datos!W10),(Datos!M10-Datos!W10)/Datos!W10," - ")</f>
        <v>0.25</v>
      </c>
      <c r="I10" s="350">
        <f>IF(ISNUMBER((Tasas!C10-Datos!BE10)/Datos!BE10),(Tasas!C10-Datos!BE10)/Datos!BE10," - ")</f>
        <v>-0.30275639878288885</v>
      </c>
      <c r="J10" s="349">
        <f>IF(ISNUMBER((Tasas!D10-Datos!BF10)/Datos!BF10),(Tasas!D10-Datos!BF10)/Datos!BF10," - ")</f>
        <v>-0.17229729729729718</v>
      </c>
      <c r="K10" s="351">
        <f>IF(ISNUMBER((Tasas!E10-Datos!BG10)/Datos!BG10),(Tasas!E10-Datos!BG10)/Datos!BG10," - ")</f>
        <v>-0.22858108108108108</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-2.2222222222222223E-2</v>
      </c>
      <c r="I11" s="350">
        <f>IF(ISNUMBER((Tasas!C11-Datos!BE11)/Datos!BE11),(Tasas!C11-Datos!BE11)/Datos!BE11," - ")</f>
        <v>0.10941861347087391</v>
      </c>
      <c r="J11" s="349">
        <f>IF(ISNUMBER((Tasas!D11-Datos!BF11)/Datos!BF11),(Tasas!D11-Datos!BF11)/Datos!BF11," - ")</f>
        <v>-0.69325797872340422</v>
      </c>
      <c r="K11" s="351">
        <f>IF(ISNUMBER((Tasas!E11-Datos!BG11)/Datos!BG11),(Tasas!E11-Datos!BG11)/Datos!BG11," - ")</f>
        <v>5.9199565003282849E-2</v>
      </c>
      <c r="M11" t="e">
        <f>IF(Monitorios="SI",Datos!CE11,0)</f>
        <v>#REF!</v>
      </c>
      <c r="N11" t="e">
        <f>IF(Monitorios="SI",Datos!CF11,0)</f>
        <v>#REF!</v>
      </c>
      <c r="O11" t="e">
        <f>IF(Monitorios="SI",Datos!CG11,0)</f>
        <v>#REF!</v>
      </c>
      <c r="P11" t="e">
        <f>IF(Monitorios="SI",Datos!CH11,0)</f>
        <v>#REF!</v>
      </c>
      <c r="Q11">
        <f>IF(J_V="SI",0,Datos!AG11)</f>
        <v>88</v>
      </c>
      <c r="R11">
        <f>IF(J_V="SI",0,Datos!AH11)</f>
        <v>273</v>
      </c>
      <c r="S11">
        <f>IF(J_V="SI",0,Datos!AI11)</f>
        <v>275</v>
      </c>
      <c r="T11">
        <f>IF(J_V="SI",0,Datos!AJ11)</f>
        <v>86</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0.43568464730290457</v>
      </c>
      <c r="I13" s="357">
        <f>IF(ISNUMBER((Tasas!C13-Datos!BE13)/Datos!BE13),(Tasas!C13-Datos!BE13)/Datos!BE13," - ")</f>
        <v>0.24338818644953608</v>
      </c>
      <c r="J13" s="355">
        <f>IF(ISNUMBER((Tasas!D13-Datos!BF13)/Datos!BF13),(Tasas!D13-Datos!BF13)/Datos!BF13," - ")</f>
        <v>-0.3111559401843827</v>
      </c>
      <c r="K13" s="358">
        <f>IF(ISNUMBER((Tasas!E13-Datos!BG13)/Datos!BG13),(Tasas!E13-Datos!BG13)/Datos!BG13," - ")</f>
        <v>0.17799415436306795</v>
      </c>
      <c r="M13" t="e">
        <f>IF(Monitorios="SI",Datos!CE13,0)</f>
        <v>#REF!</v>
      </c>
      <c r="N13" t="e">
        <f>IF(Monitorios="SI",Datos!CF13,0)</f>
        <v>#REF!</v>
      </c>
      <c r="O13" t="e">
        <f>IF(Monitorios="SI",Datos!CG13,0)</f>
        <v>#REF!</v>
      </c>
      <c r="P13" t="e">
        <f>IF(Monitorios="SI",Datos!CH13,0)</f>
        <v>#REF!</v>
      </c>
      <c r="Q13">
        <f>IF(J_V="SI",0,Datos!AG13)</f>
        <v>237</v>
      </c>
      <c r="R13">
        <f>IF(J_V="SI",0,Datos!AH13)</f>
        <v>451</v>
      </c>
      <c r="S13">
        <f>IF(J_V="SI",0,Datos!AI13)</f>
        <v>401</v>
      </c>
      <c r="T13">
        <f>IF(J_V="SI",0,Datos!AJ13)</f>
        <v>275</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0.40678276810265812</v>
      </c>
      <c r="E15" s="348">
        <f>IF(ISNUMBER(
   IF(D_I="SI",(Datos!J15-Datos!T15)/Datos!T15,(Datos!J15+Datos!AD15-(Datos!T15+Datos!AL15))/(Datos!T15+Datos!AL15))
     ),IF(D_I="SI",(Datos!J15-Datos!T15)/Datos!T15,(Datos!J15+Datos!AD15-(Datos!T15+Datos!AL15))/(Datos!T15+Datos!AL15))," - ")</f>
        <v>0.11053864168618267</v>
      </c>
      <c r="F15" s="348">
        <f>IF(ISNUMBER(
   IF(D_I="SI",(Datos!K15-Datos!U15)/Datos!U15,(Datos!K15+Datos!AE15-(Datos!U15+Datos!AM15))/(Datos!U15+Datos!AM15))
     ),IF(D_I="SI",(Datos!K15-Datos!U15)/Datos!U15,(Datos!K15+Datos!AE15-(Datos!U15+Datos!AM15))/(Datos!U15+Datos!AM15))," - ")</f>
        <v>7.3813708260105443E-2</v>
      </c>
      <c r="G15" s="349">
        <f>IF(ISNUMBER(
   IF(D_I="SI",(Datos!L15-Datos!V15)/Datos!V15,(Datos!L15+Datos!AF15-(Datos!V15+Datos!AN15))/(Datos!V15+Datos!AN15))
     ),IF(D_I="SI",(Datos!L15-Datos!V15)/Datos!V15,(Datos!L15+Datos!AF15-(Datos!V15+Datos!AN15))/(Datos!V15+Datos!AN15))," - ")</f>
        <v>0.38384524011539112</v>
      </c>
      <c r="H15" s="230">
        <f>IF(ISNUMBER((Datos!M15-Datos!W15)/Datos!W15),(Datos!M15-Datos!W15)/Datos!W15," - ")</f>
        <v>0.31597845601436264</v>
      </c>
      <c r="I15" s="350">
        <f>IF(ISNUMBER((Tasas!C15-Datos!BE15)/Datos!BE15),(Tasas!C15-Datos!BE15)/Datos!BE15," - ")</f>
        <v>0.28872003539387486</v>
      </c>
      <c r="J15" s="349">
        <f>IF(ISNUMBER((Tasas!D15-Datos!BF15)/Datos!BF15),(Tasas!D15-Datos!BF15)/Datos!BF15," - ")</f>
        <v>0.22551839848146046</v>
      </c>
      <c r="K15" s="351">
        <f>IF(ISNUMBER((Tasas!E15-Datos!BG15)/Datos!BG15),(Tasas!E15-Datos!BG15)/Datos!BG15," - ")</f>
        <v>0.18894879227866168</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0.58378378378378382</v>
      </c>
      <c r="E17" s="348">
        <f>IF(ISNUMBER(
   IF(D_I="SI",(Datos!J17-Datos!T17)/Datos!T17,(Datos!J17+Datos!AD17-(Datos!T17+Datos!AL17))/(Datos!T17+Datos!AL17))
     ),IF(D_I="SI",(Datos!J17-Datos!T17)/Datos!T17,(Datos!J17+Datos!AD17-(Datos!T17+Datos!AL17))/(Datos!T17+Datos!AL17))," - ")</f>
        <v>-6.8807339449541288E-3</v>
      </c>
      <c r="F17" s="348">
        <f>IF(ISNUMBER(
   IF(D_I="SI",(Datos!K17-Datos!U17)/Datos!U17,(Datos!K17+Datos!AE17-(Datos!U17+Datos!AM17))/(Datos!U17+Datos!AM17))
     ),IF(D_I="SI",(Datos!K17-Datos!U17)/Datos!U17,(Datos!K17+Datos!AE17-(Datos!U17+Datos!AM17))/(Datos!U17+Datos!AM17))," - ")</f>
        <v>4.6568627450980393E-2</v>
      </c>
      <c r="G17" s="349">
        <f>IF(ISNUMBER(
   IF(D_I="SI",(Datos!L17-Datos!V17)/Datos!V17,(Datos!L17+Datos!AF17-(Datos!V17+Datos!AN17))/(Datos!V17+Datos!AN17))
     ),IF(D_I="SI",(Datos!L17-Datos!V17)/Datos!V17,(Datos!L17+Datos!AF17-(Datos!V17+Datos!AN17))/(Datos!V17+Datos!AN17))," - ")</f>
        <v>0.40375586854460094</v>
      </c>
      <c r="H17" s="230">
        <f>IF(ISNUMBER((Datos!M17-Datos!W17)/Datos!W17),(Datos!M17-Datos!W17)/Datos!W17," - ")</f>
        <v>-0.35135135135135137</v>
      </c>
      <c r="I17" s="350">
        <f>IF(ISNUMBER((Tasas!C17-Datos!BE17)/Datos!BE17),(Tasas!C17-Datos!BE17)/Datos!BE17," - ")</f>
        <v>0.34129366362107061</v>
      </c>
      <c r="J17" s="349">
        <f>IF(ISNUMBER((Tasas!D17-Datos!BF17)/Datos!BF17),(Tasas!D17-Datos!BF17)/Datos!BF17," - ")</f>
        <v>-0.38021393759098676</v>
      </c>
      <c r="K17" s="351">
        <f>IF(ISNUMBER((Tasas!E17-Datos!BG17)/Datos!BG17),(Tasas!E17-Datos!BG17)/Datos!BG17," - ")</f>
        <v>0.11706207786036722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0.4125886524822695</v>
      </c>
      <c r="E18" s="354">
        <f>IF(ISNUMBER(
   IF(D_I="SI",(Datos!J18-Datos!T18)/Datos!T18,(Datos!J18+Datos!AD18-(Datos!T18+Datos!AL18))/(Datos!T18+Datos!AL18))
     ),IF(D_I="SI",(Datos!J18-Datos!T18)/Datos!T18,(Datos!J18+Datos!AD18-(Datos!T18+Datos!AL18))/(Datos!T18+Datos!AL18))," - ")</f>
        <v>9.9660008499787511E-2</v>
      </c>
      <c r="F18" s="354">
        <f>IF(ISNUMBER(
   IF(D_I="SI",(Datos!K18-Datos!U18)/Datos!U18,(Datos!K18+Datos!AE18-(Datos!U18+Datos!AM18))/(Datos!U18+Datos!AM18))
     ),IF(D_I="SI",(Datos!K18-Datos!U18)/Datos!U18,(Datos!K18+Datos!AE18-(Datos!U18+Datos!AM18))/(Datos!U18+Datos!AM18))," - ")</f>
        <v>7.1282168071054433E-2</v>
      </c>
      <c r="G18" s="355">
        <f>IF(ISNUMBER(
   IF(D_I="SI",(Datos!L18-Datos!V18)/Datos!V18,(Datos!L18+Datos!AF18-(Datos!V18+Datos!AN18))/(Datos!V18+Datos!AN18))
     ),IF(D_I="SI",(Datos!L18-Datos!V18)/Datos!V18,(Datos!L18+Datos!AF18-(Datos!V18+Datos!AN18))/(Datos!V18+Datos!AN18))," - ")</f>
        <v>0.38453979692106127</v>
      </c>
      <c r="H18" s="356">
        <f>IF(ISNUMBER((Datos!M18-Datos!W18)/Datos!W18),(Datos!M18-Datos!W18)/Datos!W18," - ")</f>
        <v>0.23771790808240886</v>
      </c>
      <c r="I18" s="357">
        <f>IF(ISNUMBER((Tasas!C18-Datos!BE18)/Datos!BE18),(Tasas!C18-Datos!BE18)/Datos!BE18," - ")</f>
        <v>0.29241374325688352</v>
      </c>
      <c r="J18" s="355">
        <f>IF(ISNUMBER((Tasas!D18-Datos!BF18)/Datos!BF18),(Tasas!D18-Datos!BF18)/Datos!BF18," - ")</f>
        <v>0.15536125305906831</v>
      </c>
      <c r="K18" s="358">
        <f>IF(ISNUMBER((Tasas!E18-Datos!BG18)/Datos!BG18),(Tasas!E18-Datos!BG18)/Datos!BG18," - ")</f>
        <v>0.18572810189221631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0.44634968176712841</v>
      </c>
      <c r="E19" s="363">
        <f>IF(ISNUMBER(
   IF(J_V="SI",(Datos!J19-Datos!T19)/Datos!T19,(Datos!J19+Datos!Z19-(Datos!T19+Datos!AH19))/(Datos!T19+Datos!AH19))
     ),IF(J_V="SI",(Datos!J19-Datos!T19)/Datos!T19,(Datos!J19+Datos!Z19-(Datos!T19+Datos!AH19))/(Datos!T19+Datos!AH19))," - ")</f>
        <v>5.2800965503369206E-2</v>
      </c>
      <c r="F19" s="363">
        <f>IF(ISNUMBER(
   IF(J_V="SI",(Datos!K19-Datos!U19)/Datos!U19,(Datos!K19+Datos!AA19-(Datos!U19+Datos!AI19))/(Datos!U19+Datos!AI19))
     ),IF(J_V="SI",(Datos!K19-Datos!U19)/Datos!U19,(Datos!K19+Datos!AA19-(Datos!U19+Datos!AI19))/(Datos!U19+Datos!AI19))," - ")</f>
        <v>8.1237480525261516E-2</v>
      </c>
      <c r="G19" s="364">
        <f>IF(ISNUMBER(
   IF(J_V="SI",(Datos!L19-Datos!V19)/Datos!V19,(Datos!L19+Datos!AB19-(Datos!V19+Datos!AJ19))/(Datos!V19+Datos!AJ19))
     ),IF(J_V="SI",(Datos!L19-Datos!V19)/Datos!V19,(Datos!L19+Datos!AB19-(Datos!V19+Datos!AJ19))/(Datos!V19+Datos!AJ19))," - ")</f>
        <v>0.36800163465467922</v>
      </c>
      <c r="H19" s="365">
        <f>IF(ISNUMBER((Datos!M19-Datos!W19)/Datos!W19),(Datos!M19-Datos!W19)/Datos!W19," - ")</f>
        <v>0.35736677115987459</v>
      </c>
      <c r="I19" s="362">
        <f>IF(ISNUMBER((Tasas!C19-Datos!BE19)/Datos!BE19),(Tasas!C19-Datos!BE19)/Datos!BE19," - ")</f>
        <v>0.26521847354950062</v>
      </c>
      <c r="J19" s="363">
        <f>IF(ISNUMBER((Tasas!D19-Datos!BF19)/Datos!BF19),(Tasas!D19-Datos!BF19)/Datos!BF19," - ")</f>
        <v>-0.19032134121380404</v>
      </c>
      <c r="K19" s="364">
        <f>IF(ISNUMBER((Tasas!E19-Datos!BG19)/Datos!BG19),(Tasas!E19-Datos!BG19)/Datos!BG19," - ")</f>
        <v>0.18234247159637604</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0.13845341038718589</v>
      </c>
      <c r="E21" s="278">
        <f t="shared" si="1"/>
        <v>7.3833261145924575E-2</v>
      </c>
      <c r="F21" s="278">
        <f t="shared" si="1"/>
        <v>0.22349614104891113</v>
      </c>
      <c r="G21" s="279">
        <f t="shared" si="1"/>
        <v>0.16911862714006279</v>
      </c>
      <c r="H21" s="285">
        <f t="shared" si="1"/>
        <v>0.29600192204727072</v>
      </c>
      <c r="I21" s="277">
        <f t="shared" si="1"/>
        <v>0.22270673118991804</v>
      </c>
      <c r="J21" s="278">
        <f t="shared" si="1"/>
        <v>0.31523230004796637</v>
      </c>
      <c r="K21" s="279">
        <f t="shared" si="1"/>
        <v>0.15242489447790367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LaZKEkVZQH8l75KDVo4EN6uj6JWLSXJATzKUB9gEPO/Ch5XE4zhELPRreASjTZkgD6HzhJYUxROGtJ+MqpmaQ==" saltValue="lGWNhh9MuWcxYTtr2Fak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CATALUÑA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27.215914378780827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178</v>
      </c>
      <c r="D10" s="225">
        <f>IF(ISNUMBER(Datos!I10),Datos!I10," - ")</f>
        <v>178</v>
      </c>
      <c r="E10" s="226">
        <f>IF(ISNUMBER(Datos!J10),Datos!J10," - ")</f>
        <v>55</v>
      </c>
      <c r="F10" s="226">
        <f>IF(ISNUMBER(Datos!K10),Datos!K10," - ")</f>
        <v>74</v>
      </c>
      <c r="G10" s="1034" t="str">
        <f>IF(Datos!E10&lt;&gt;"",Datos!E10,Datos!D10)</f>
        <v>37</v>
      </c>
      <c r="H10" s="227">
        <f>IF(ISNUMBER(Datos!L10),Datos!L10," - ")</f>
        <v>159</v>
      </c>
      <c r="I10" s="1044" t="str">
        <f>IF(ISNUMBER(Datos!AS10/Datos!BM10),Datos!AS10/Datos!BM10," - ")</f>
        <v xml:space="preserve"> - </v>
      </c>
      <c r="J10" s="1045">
        <f>IF(ISNUMBER(Datos!BY10/Datos!CN10),Datos!BY10/Datos!CN10," - ")</f>
        <v>0</v>
      </c>
      <c r="K10" s="230">
        <f t="shared" ref="K10:K12" si="1">IF(ISNUMBER((E10-F10)/C10),(E10-F10)/C10," - ")</f>
        <v>-0.10674157303370786</v>
      </c>
      <c r="L10" s="1025">
        <f>IF(ISNUMBER(NºAsuntos!I10/NºAsuntos!G10),(NºAsuntos!I10/NºAsuntos!G10)*11," - ")</f>
        <v>23.635135135135137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14.385937500000001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178</v>
      </c>
      <c r="D13" s="1049">
        <f>SUBTOTAL(9,D9:D12)</f>
        <v>178</v>
      </c>
      <c r="E13" s="1050">
        <f>SUBTOTAL(9,E9:E12)</f>
        <v>55</v>
      </c>
      <c r="F13" s="1051">
        <f>SUBTOTAL(9,F9:F12)</f>
        <v>74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7690</v>
      </c>
      <c r="D15" s="225">
        <f>IF(ISNUMBER(IF(D_I="SI",Datos!I15,Datos!I15+Datos!AC15)),IF(D_I="SI",Datos!I15,Datos!I15+Datos!AC15)," - ")</f>
        <v>7674</v>
      </c>
      <c r="E15" s="226">
        <f>IF(ISNUMBER(IF(D_I="SI",Datos!J15,Datos!J15+Datos!AD15)),IF(D_I="SI",Datos!J15,Datos!J15+Datos!AD15)," - ")</f>
        <v>4742</v>
      </c>
      <c r="F15" s="226">
        <f>IF(ISNUMBER(IF(D_I="SI",Datos!K15,Datos!K15+Datos!AE15)),IF(D_I="SI",Datos!K15,Datos!K15+Datos!AE15)," - ")</f>
        <v>4277</v>
      </c>
      <c r="G15" s="1034" t="str">
        <f>IF(Datos!E15&lt;&gt;"",Datos!E15,Datos!D15)</f>
        <v>03</v>
      </c>
      <c r="H15" s="227">
        <f>IF(ISNUMBER(IF(D_I="SI",Datos!L15,Datos!L15+Datos!AF15)),IF(D_I="SI",Datos!L15,Datos!L15+Datos!AF15)," - ")</f>
        <v>8155</v>
      </c>
      <c r="I15" s="1044" t="str">
        <f>IF(ISNUMBER(Datos!AS15/Datos!BM15),Datos!AS15/Datos!BM15," - ")</f>
        <v xml:space="preserve"> - </v>
      </c>
      <c r="J15" s="1045">
        <f>IF(ISNUMBER(Datos!BY15/Datos!CN15),Datos!BY15/Datos!CN15," - ")</f>
        <v>0</v>
      </c>
      <c r="K15" s="230">
        <f t="shared" ref="K15:K17" si="3">IF(ISNUMBER((E15-F15)/C15),(E15-F15)/C15," - ")</f>
        <v>6.046814044213264E-2</v>
      </c>
      <c r="L15" s="1025">
        <f>IF(ISNUMBER(NºAsuntos!I15/NºAsuntos!G15),(NºAsuntos!I15/NºAsuntos!G15)*11," - ")</f>
        <v>20.97381342062193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293</v>
      </c>
      <c r="D17" s="225">
        <f>IF(ISNUMBER(IF(D_I="SI",Datos!I17,Datos!I17+Datos!AC17)),IF(D_I="SI",Datos!I17,Datos!I17+Datos!AC17)," - ")</f>
        <v>293</v>
      </c>
      <c r="E17" s="226">
        <f>IF(ISNUMBER(IF(D_I="SI",Datos!J17,Datos!J17+Datos!AD17)),IF(D_I="SI",Datos!J17,Datos!J17+Datos!AD17)," - ")</f>
        <v>433</v>
      </c>
      <c r="F17" s="226">
        <f>IF(ISNUMBER(IF(D_I="SI",Datos!K17,Datos!K17+Datos!AE17)),IF(D_I="SI",Datos!K17,Datos!K17+Datos!AE17)," - ")</f>
        <v>427</v>
      </c>
      <c r="G17" s="1034" t="str">
        <f>IF(Datos!E17&lt;&gt;"",Datos!E17,Datos!D17)</f>
        <v>37</v>
      </c>
      <c r="H17" s="227">
        <f>IF(ISNUMBER(IF(D_I="SI",Datos!L17,Datos!L17+Datos!AF17)),IF(D_I="SI",Datos!L17,Datos!L17+Datos!AF17)," - ")</f>
        <v>299</v>
      </c>
      <c r="I17" s="1044" t="str">
        <f>IF(ISNUMBER(Datos!AS17/Datos!BM17),Datos!AS17/Datos!BM17," - ")</f>
        <v xml:space="preserve"> - </v>
      </c>
      <c r="J17" s="1045" t="str">
        <f>IF(ISNUMBER((Datos!BY17+Datos!BZ17)/Datos!CN17),(Datos!BY17+Datos!BZ17)/Datos!CN17," - ")</f>
        <v xml:space="preserve"> - </v>
      </c>
      <c r="K17" s="230">
        <f t="shared" si="3"/>
        <v>2.0477815699658702E-2</v>
      </c>
      <c r="L17" s="1025">
        <f>IF(ISNUMBER(NºAsuntos!I17/NºAsuntos!G17),(NºAsuntos!I17/NºAsuntos!G17)*11," - ")</f>
        <v>7.7025761124121779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7983</v>
      </c>
      <c r="D18" s="1049">
        <f>SUBTOTAL(9,D15:D17)</f>
        <v>7967</v>
      </c>
      <c r="E18" s="1050">
        <f>SUBTOTAL(9,E15:E17)</f>
        <v>5175</v>
      </c>
      <c r="F18" s="1050">
        <f>SUBTOTAL(9,F15:F17)</f>
        <v>4704</v>
      </c>
      <c r="G18" s="1052" t="str">
        <f ca="1">INDIRECT(CONCATENATE("G",ROW()-1))</f>
        <v>37</v>
      </c>
      <c r="H18" s="1053">
        <f ca="1">SUMIF(G$14:G17,G18,H$14:H17)</f>
        <v>299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8161</v>
      </c>
      <c r="D19" s="1071">
        <f>SUBTOTAL(9,D9:D18)</f>
        <v>8145</v>
      </c>
      <c r="E19" s="1072">
        <f>SUBTOTAL(9,E9:E18)</f>
        <v>5230</v>
      </c>
      <c r="F19" s="1072">
        <f>SUBTOTAL(9,F9:F18)</f>
        <v>4778</v>
      </c>
      <c r="G19" s="1073"/>
      <c r="H19" s="1074">
        <f ca="1">SUMIF(B9:B18,"TOTAL",H9:H18)</f>
        <v>299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3U9Arqapv8l5gJcNErBXt+vv8aPOLLbvY5g+wt9/TgSjoqDjWsktkJzsaJ1KjRJo2+Bh5OoztamDoJ1qh/N9g==" saltValue="gY6I7MuRjD/LiCW1I0HNx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DZ2R1TTc3IJEHJH0O0zTHUAm526znlGO9U+16cCft/K/h6uexkMoLfEeeGmtn38/t1/OKhe18vkCC5S+os8ixw==" saltValue="nFhMPFDzJs+2yFWgne30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10103</v>
      </c>
      <c r="J9" s="181">
        <v>4591</v>
      </c>
      <c r="K9" s="181">
        <v>4190</v>
      </c>
      <c r="L9" s="181">
        <v>10505</v>
      </c>
      <c r="M9" s="181">
        <v>1232</v>
      </c>
      <c r="N9" s="181">
        <v>1795</v>
      </c>
      <c r="O9" s="181">
        <v>1639</v>
      </c>
      <c r="P9" s="181">
        <v>844</v>
      </c>
      <c r="Q9" s="181">
        <v>1064</v>
      </c>
      <c r="R9" s="181">
        <v>13281</v>
      </c>
      <c r="S9" s="181">
        <v>6568</v>
      </c>
      <c r="T9" s="181">
        <v>4333</v>
      </c>
      <c r="U9" s="181">
        <v>3721</v>
      </c>
      <c r="V9" s="181">
        <v>7411</v>
      </c>
      <c r="W9" s="181">
        <v>813</v>
      </c>
      <c r="X9" s="188">
        <v>1356</v>
      </c>
      <c r="Y9" s="191">
        <v>170</v>
      </c>
      <c r="Z9" s="181">
        <v>67</v>
      </c>
      <c r="AA9" s="181">
        <v>108</v>
      </c>
      <c r="AB9" s="181">
        <v>129</v>
      </c>
      <c r="AC9" s="181">
        <v>0</v>
      </c>
      <c r="AD9" s="181">
        <v>0</v>
      </c>
      <c r="AE9" s="181">
        <v>0</v>
      </c>
      <c r="AF9" s="188">
        <v>0</v>
      </c>
      <c r="AG9" s="191">
        <v>149</v>
      </c>
      <c r="AH9" s="181">
        <v>178</v>
      </c>
      <c r="AI9" s="181">
        <v>126</v>
      </c>
      <c r="AJ9" s="192">
        <v>189</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6717</v>
      </c>
      <c r="AZ9" s="123">
        <f>IF(ISNUMBER(IF(J_V="SI",T9,T9+AH9)),IF(J_V="SI",T9,T9+AH9)," - ")</f>
        <v>4511</v>
      </c>
      <c r="BA9" s="124">
        <f>IF(ISNUMBER(IF(J_V="SI",U9,U9+AI9)),IF(J_V="SI",U9,U9+AI9)," - ")</f>
        <v>3847</v>
      </c>
      <c r="BB9" s="124">
        <f>IF(ISNUMBER(IF(J_V="SI",V9,V9+AJ9)),IF(J_V="SI",V9,V9+AJ9)," - ")</f>
        <v>7600</v>
      </c>
      <c r="BC9" s="125">
        <f>IF(ISNUMBER(X9),X9," - ")</f>
        <v>1356</v>
      </c>
      <c r="BD9" s="126">
        <f>IF(ISNUMBER(BA9/AZ9),BA9/AZ9," - ")</f>
        <v>0.85280425626246947</v>
      </c>
      <c r="BE9" s="127">
        <f>IF(ISNUMBER(BB9/BA9),BB9/BA9, " - ")</f>
        <v>1.9755653756173641</v>
      </c>
      <c r="BF9" s="127">
        <f>IF(ISNUMBER(BC9/BA9),BC9/BA9, " - ")</f>
        <v>0.35248245386015076</v>
      </c>
      <c r="BG9" s="196">
        <f>IF(ISNUMBER((AY9+AZ9)/BA9),(AY9+AZ9)/BA9," - ")</f>
        <v>2.9186378996620745</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178</v>
      </c>
      <c r="J10" s="181">
        <v>55</v>
      </c>
      <c r="K10" s="181">
        <v>74</v>
      </c>
      <c r="L10" s="181">
        <v>159</v>
      </c>
      <c r="M10" s="181">
        <v>20</v>
      </c>
      <c r="N10" s="181">
        <v>26</v>
      </c>
      <c r="O10" s="181">
        <v>30</v>
      </c>
      <c r="P10" s="181">
        <v>15</v>
      </c>
      <c r="Q10" s="181">
        <v>3</v>
      </c>
      <c r="R10" s="181">
        <v>116</v>
      </c>
      <c r="S10" s="181">
        <v>143</v>
      </c>
      <c r="T10" s="181">
        <v>57</v>
      </c>
      <c r="U10" s="181">
        <v>49</v>
      </c>
      <c r="V10" s="181">
        <v>151</v>
      </c>
      <c r="W10" s="181">
        <v>16</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143</v>
      </c>
      <c r="AZ10" s="129">
        <f t="shared" si="0"/>
        <v>57</v>
      </c>
      <c r="BA10" s="129">
        <f t="shared" si="0"/>
        <v>49</v>
      </c>
      <c r="BB10" s="129">
        <f t="shared" si="0"/>
        <v>151</v>
      </c>
      <c r="BC10" s="125">
        <f t="shared" si="0"/>
        <v>16</v>
      </c>
      <c r="BD10" s="126">
        <f>IF(ISNUMBER(BA10/AZ10),BA10/AZ10," - ")</f>
        <v>0.85964912280701755</v>
      </c>
      <c r="BE10" s="127">
        <f>IF(ISNUMBER(BB10/BA10),BB10/BA10, " - ")</f>
        <v>3.0816326530612246</v>
      </c>
      <c r="BF10" s="127">
        <f>IF(ISNUMBER(BC10/BA10),BC10/BA10, " - ")</f>
        <v>0.32653061224489793</v>
      </c>
      <c r="BG10" s="196">
        <f>IF(ISNUMBER((AY10+AZ10)/BA10),(AY10+AZ10)/BA10," - ")</f>
        <v>4.0816326530612246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787</v>
      </c>
      <c r="J11" s="183">
        <v>340</v>
      </c>
      <c r="K11" s="183">
        <v>389</v>
      </c>
      <c r="L11" s="183">
        <v>738</v>
      </c>
      <c r="M11" s="183">
        <v>132</v>
      </c>
      <c r="N11" s="183">
        <v>415</v>
      </c>
      <c r="O11" s="181">
        <v>165</v>
      </c>
      <c r="P11" s="183">
        <v>54</v>
      </c>
      <c r="Q11" s="183">
        <v>61</v>
      </c>
      <c r="R11" s="183">
        <v>592</v>
      </c>
      <c r="S11" s="183">
        <v>766</v>
      </c>
      <c r="T11" s="183">
        <v>396</v>
      </c>
      <c r="U11" s="183">
        <v>424</v>
      </c>
      <c r="V11" s="183">
        <v>738</v>
      </c>
      <c r="W11" s="183">
        <v>135</v>
      </c>
      <c r="X11" s="189">
        <v>470</v>
      </c>
      <c r="Y11" s="191">
        <v>110</v>
      </c>
      <c r="Z11" s="181">
        <v>240</v>
      </c>
      <c r="AA11" s="181">
        <v>251</v>
      </c>
      <c r="AB11" s="181">
        <v>99</v>
      </c>
      <c r="AC11" s="183">
        <v>0</v>
      </c>
      <c r="AD11" s="183">
        <v>0</v>
      </c>
      <c r="AE11" s="183">
        <v>0</v>
      </c>
      <c r="AF11" s="189">
        <v>0</v>
      </c>
      <c r="AG11" s="202">
        <v>88</v>
      </c>
      <c r="AH11" s="183">
        <v>273</v>
      </c>
      <c r="AI11" s="183">
        <v>275</v>
      </c>
      <c r="AJ11" s="203">
        <v>86</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854</v>
      </c>
      <c r="AZ11" s="127">
        <f t="shared" si="1"/>
        <v>669</v>
      </c>
      <c r="BA11" s="127">
        <f t="shared" si="1"/>
        <v>699</v>
      </c>
      <c r="BB11" s="127">
        <f t="shared" si="1"/>
        <v>824</v>
      </c>
      <c r="BC11" s="125">
        <f>IF(ISNUMBER(X11),X11," - ")</f>
        <v>470</v>
      </c>
      <c r="BD11" s="126">
        <f t="shared" ref="BD11:BD12" si="2">IF(ISNUMBER(BA11/AZ11),BA11/AZ11," - ")</f>
        <v>1.0448430493273542</v>
      </c>
      <c r="BE11" s="127">
        <f t="shared" ref="BE11:BE12" si="3">IF(ISNUMBER(BB11/BA11),BB11/BA11, " - ")</f>
        <v>1.1788268955650929</v>
      </c>
      <c r="BF11" s="127">
        <f t="shared" ref="BF11:BF12" si="4">IF(ISNUMBER(BC11/BA11),BC11/BA11, " - ")</f>
        <v>0.67238912732474965</v>
      </c>
      <c r="BG11" s="196">
        <f t="shared" ref="BG11:BG12" si="5">IF(ISNUMBER((AY11+AZ11)/BA11),(AY11+AZ11)/BA11," - ")</f>
        <v>2.1788268955650931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2</v>
      </c>
      <c r="R12" s="183">
        <v>259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11069</v>
      </c>
      <c r="J13" s="184">
        <f t="shared" si="6"/>
        <v>4986</v>
      </c>
      <c r="K13" s="184">
        <f t="shared" si="6"/>
        <v>4653</v>
      </c>
      <c r="L13" s="184">
        <f t="shared" si="6"/>
        <v>11403</v>
      </c>
      <c r="M13" s="184">
        <f t="shared" si="6"/>
        <v>1384</v>
      </c>
      <c r="N13" s="184">
        <f t="shared" si="6"/>
        <v>2236</v>
      </c>
      <c r="O13" s="184">
        <f t="shared" si="6"/>
        <v>1834</v>
      </c>
      <c r="P13" s="184">
        <f t="shared" si="6"/>
        <v>913</v>
      </c>
      <c r="Q13" s="184">
        <f t="shared" si="6"/>
        <v>1130</v>
      </c>
      <c r="R13" s="184">
        <f t="shared" si="6"/>
        <v>14248</v>
      </c>
      <c r="S13" s="184">
        <f t="shared" si="6"/>
        <v>7478</v>
      </c>
      <c r="T13" s="184">
        <f t="shared" si="6"/>
        <v>4786</v>
      </c>
      <c r="U13" s="184">
        <f t="shared" si="6"/>
        <v>4194</v>
      </c>
      <c r="V13" s="184">
        <f t="shared" si="6"/>
        <v>8301</v>
      </c>
      <c r="W13" s="184">
        <f t="shared" si="6"/>
        <v>964</v>
      </c>
      <c r="X13" s="184">
        <f t="shared" si="6"/>
        <v>1851</v>
      </c>
      <c r="Y13" s="184">
        <f t="shared" si="6"/>
        <v>280</v>
      </c>
      <c r="Z13" s="184">
        <f t="shared" si="6"/>
        <v>307</v>
      </c>
      <c r="AA13" s="184">
        <f t="shared" si="6"/>
        <v>359</v>
      </c>
      <c r="AB13" s="184">
        <f t="shared" si="6"/>
        <v>228</v>
      </c>
      <c r="AC13" s="184">
        <f t="shared" si="6"/>
        <v>0</v>
      </c>
      <c r="AD13" s="184">
        <f t="shared" si="6"/>
        <v>0</v>
      </c>
      <c r="AE13" s="184">
        <f t="shared" si="6"/>
        <v>0</v>
      </c>
      <c r="AF13" s="184">
        <f>SUBTOTAL(9,AF9:AF12)</f>
        <v>0</v>
      </c>
      <c r="AG13" s="184">
        <f t="shared" ref="AG13:AT13" si="7">SUBTOTAL(9,AG8:AG12)</f>
        <v>237</v>
      </c>
      <c r="AH13" s="184">
        <f t="shared" si="7"/>
        <v>451</v>
      </c>
      <c r="AI13" s="184">
        <f t="shared" si="7"/>
        <v>401</v>
      </c>
      <c r="AJ13" s="184">
        <f t="shared" si="7"/>
        <v>275</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7715</v>
      </c>
      <c r="AZ13" s="184">
        <f>SUBTOTAL(9,AZ8:AZ12)</f>
        <v>5237</v>
      </c>
      <c r="BA13" s="184">
        <f>SUBTOTAL(9,BA8:BA12)</f>
        <v>4595</v>
      </c>
      <c r="BB13" s="184">
        <f>SUBTOTAL(9,BB8:BB12)</f>
        <v>8576</v>
      </c>
      <c r="BC13" s="184">
        <f>SUBTOTAL(9,BC8:BC12)</f>
        <v>1842</v>
      </c>
      <c r="BD13" s="205">
        <f>IF(ISNUMBER(BA13/AZ13),BA13/AZ13," - ")</f>
        <v>0.87741073133473357</v>
      </c>
      <c r="BE13" s="206">
        <f>IF(ISNUMBER(BB13/BA13),BB13/BA13, " - ")</f>
        <v>1.8663764961915126</v>
      </c>
      <c r="BF13" s="206">
        <f>IF(ISNUMBER(BC13/BA13),BC13/BA13, " - ")</f>
        <v>0.40087051142546248</v>
      </c>
      <c r="BG13" s="207">
        <f>IF(ISNUMBER((AY13+AZ13)/BA13),(AY13+AZ13)/BA13," - ")</f>
        <v>2.8187159956474428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7674</v>
      </c>
      <c r="J15" s="183">
        <v>4742</v>
      </c>
      <c r="K15" s="183">
        <v>4277</v>
      </c>
      <c r="L15" s="183">
        <v>8155</v>
      </c>
      <c r="M15" s="183">
        <v>733</v>
      </c>
      <c r="N15" s="183">
        <v>2673</v>
      </c>
      <c r="O15" s="181">
        <v>115</v>
      </c>
      <c r="P15" s="183">
        <v>306</v>
      </c>
      <c r="Q15" s="183">
        <v>191</v>
      </c>
      <c r="R15" s="183">
        <v>818</v>
      </c>
      <c r="S15" s="183">
        <v>5455</v>
      </c>
      <c r="T15" s="183">
        <v>4270</v>
      </c>
      <c r="U15" s="183">
        <v>3983</v>
      </c>
      <c r="V15" s="183">
        <v>5893</v>
      </c>
      <c r="W15" s="183">
        <v>557</v>
      </c>
      <c r="X15" s="189">
        <v>2738</v>
      </c>
      <c r="Y15" s="202">
        <v>0</v>
      </c>
      <c r="Z15" s="183">
        <v>0</v>
      </c>
      <c r="AA15" s="183">
        <v>0</v>
      </c>
      <c r="AB15" s="183">
        <v>0</v>
      </c>
      <c r="AC15" s="183">
        <v>17</v>
      </c>
      <c r="AD15" s="183">
        <v>108</v>
      </c>
      <c r="AE15" s="183">
        <v>125</v>
      </c>
      <c r="AF15" s="189">
        <v>0</v>
      </c>
      <c r="AG15" s="202">
        <v>0</v>
      </c>
      <c r="AH15" s="183">
        <v>0</v>
      </c>
      <c r="AI15" s="183">
        <v>0</v>
      </c>
      <c r="AJ15" s="203">
        <v>0</v>
      </c>
      <c r="AK15" s="182">
        <v>0</v>
      </c>
      <c r="AL15" s="183">
        <v>132</v>
      </c>
      <c r="AM15" s="183">
        <v>132</v>
      </c>
      <c r="AN15" s="189">
        <v>0</v>
      </c>
      <c r="AO15" s="259">
        <v>4</v>
      </c>
      <c r="AP15" s="155">
        <v>4</v>
      </c>
      <c r="AQ15" s="155">
        <v>4</v>
      </c>
      <c r="AR15" s="155">
        <v>4</v>
      </c>
      <c r="AS15" s="340" t="s">
        <v>522</v>
      </c>
      <c r="AT15" s="203" t="s">
        <v>322</v>
      </c>
      <c r="AU15" s="202"/>
      <c r="AV15" s="203"/>
      <c r="AW15" s="202"/>
      <c r="AX15" s="203"/>
      <c r="AY15" s="128">
        <f t="shared" ref="AY15:BB16" si="9">IF(ISNUMBER(IF(D_I="SI",S15,S15+AK15)),IF(D_I="SI",S15,S15+AK15)," - ")</f>
        <v>5455</v>
      </c>
      <c r="AZ15" s="129">
        <f t="shared" si="9"/>
        <v>4270</v>
      </c>
      <c r="BA15" s="129">
        <f t="shared" si="9"/>
        <v>3983</v>
      </c>
      <c r="BB15" s="129">
        <f t="shared" si="9"/>
        <v>5893</v>
      </c>
      <c r="BC15" s="125">
        <f>IF(ISNUMBER(W15),W15," - ")</f>
        <v>557</v>
      </c>
      <c r="BD15" s="126">
        <f>IF(ISNUMBER(BA15/AZ15),BA15/AZ15," - ")</f>
        <v>0.93278688524590159</v>
      </c>
      <c r="BE15" s="127">
        <f>IF(ISNUMBER(BB15/BA15),BB15/BA15, " - ")</f>
        <v>1.4795380366557871</v>
      </c>
      <c r="BF15" s="127">
        <f>IF(ISNUMBER(BC15/BA15),BC15/BA15, " - ")</f>
        <v>0.13984433843836305</v>
      </c>
      <c r="BG15" s="196">
        <f t="shared" ref="BG15:BG16" si="10">IF(ISNUMBER((AY15+AZ15)/BA15),(AY15+AZ15)/BA15," - ")</f>
        <v>2.4416269143861409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293</v>
      </c>
      <c r="J17" s="183">
        <v>433</v>
      </c>
      <c r="K17" s="183">
        <v>427</v>
      </c>
      <c r="L17" s="183">
        <v>299</v>
      </c>
      <c r="M17" s="183">
        <v>48</v>
      </c>
      <c r="N17" s="183">
        <v>179</v>
      </c>
      <c r="O17" s="183">
        <v>2</v>
      </c>
      <c r="P17" s="183">
        <v>0</v>
      </c>
      <c r="Q17" s="183">
        <v>2</v>
      </c>
      <c r="R17" s="183">
        <v>0</v>
      </c>
      <c r="S17" s="183">
        <v>185</v>
      </c>
      <c r="T17" s="183">
        <v>436</v>
      </c>
      <c r="U17" s="183">
        <v>408</v>
      </c>
      <c r="V17" s="183">
        <v>213</v>
      </c>
      <c r="W17" s="183">
        <v>74</v>
      </c>
      <c r="X17" s="189">
        <v>189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185</v>
      </c>
      <c r="AZ17" s="129">
        <f t="shared" si="14"/>
        <v>436</v>
      </c>
      <c r="BA17" s="129">
        <f t="shared" si="14"/>
        <v>408</v>
      </c>
      <c r="BB17" s="129">
        <f t="shared" si="14"/>
        <v>213</v>
      </c>
      <c r="BC17" s="125">
        <f>IF(ISNUMBER(W17),W17," - ")</f>
        <v>74</v>
      </c>
      <c r="BD17" s="126">
        <f>IF(ISNUMBER(BA17/AZ17),BA17/AZ17," - ")</f>
        <v>0.93577981651376152</v>
      </c>
      <c r="BE17" s="127">
        <f>IF(ISNUMBER(BB17/BA17),BB17/BA17, " - ")</f>
        <v>0.5220588235294118</v>
      </c>
      <c r="BF17" s="127">
        <f>IF(ISNUMBER(BC17/BA17),BC17/BA17, " - ")</f>
        <v>0.18137254901960784</v>
      </c>
      <c r="BG17" s="196">
        <f>IF(ISNUMBER((AY17+AZ17)/BA17),(AY17+AZ17)/BA17," - ")</f>
        <v>1.5220588235294117</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7967</v>
      </c>
      <c r="J18" s="184">
        <f t="shared" si="15"/>
        <v>5175</v>
      </c>
      <c r="K18" s="184">
        <f t="shared" si="15"/>
        <v>4704</v>
      </c>
      <c r="L18" s="184">
        <f t="shared" si="15"/>
        <v>8454</v>
      </c>
      <c r="M18" s="184">
        <f t="shared" si="15"/>
        <v>781</v>
      </c>
      <c r="N18" s="184">
        <f t="shared" si="15"/>
        <v>2852</v>
      </c>
      <c r="O18" s="184">
        <f t="shared" si="15"/>
        <v>117</v>
      </c>
      <c r="P18" s="184">
        <f t="shared" si="15"/>
        <v>306</v>
      </c>
      <c r="Q18" s="184">
        <f t="shared" si="15"/>
        <v>193</v>
      </c>
      <c r="R18" s="184">
        <f t="shared" si="15"/>
        <v>818</v>
      </c>
      <c r="S18" s="184">
        <f t="shared" si="15"/>
        <v>5640</v>
      </c>
      <c r="T18" s="184">
        <f t="shared" si="15"/>
        <v>4706</v>
      </c>
      <c r="U18" s="184">
        <f t="shared" si="15"/>
        <v>4391</v>
      </c>
      <c r="V18" s="184">
        <f t="shared" si="15"/>
        <v>6106</v>
      </c>
      <c r="W18" s="184">
        <f t="shared" si="15"/>
        <v>631</v>
      </c>
      <c r="X18" s="184">
        <f t="shared" si="15"/>
        <v>2927</v>
      </c>
      <c r="Y18" s="184">
        <f t="shared" si="15"/>
        <v>0</v>
      </c>
      <c r="Z18" s="184">
        <f t="shared" si="15"/>
        <v>0</v>
      </c>
      <c r="AA18" s="184">
        <f t="shared" si="15"/>
        <v>0</v>
      </c>
      <c r="AB18" s="184">
        <f t="shared" si="15"/>
        <v>0</v>
      </c>
      <c r="AC18" s="184">
        <f t="shared" si="15"/>
        <v>17</v>
      </c>
      <c r="AD18" s="184">
        <f t="shared" si="15"/>
        <v>108</v>
      </c>
      <c r="AE18" s="184">
        <f t="shared" si="15"/>
        <v>125</v>
      </c>
      <c r="AF18" s="184">
        <f t="shared" si="15"/>
        <v>0</v>
      </c>
      <c r="AG18" s="184">
        <f t="shared" si="15"/>
        <v>0</v>
      </c>
      <c r="AH18" s="184">
        <f t="shared" si="15"/>
        <v>0</v>
      </c>
      <c r="AI18" s="184">
        <f t="shared" si="15"/>
        <v>0</v>
      </c>
      <c r="AJ18" s="184">
        <f t="shared" si="15"/>
        <v>0</v>
      </c>
      <c r="AK18" s="184">
        <f t="shared" si="15"/>
        <v>0</v>
      </c>
      <c r="AL18" s="184">
        <f t="shared" si="15"/>
        <v>132</v>
      </c>
      <c r="AM18" s="184">
        <f t="shared" si="15"/>
        <v>132</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5640</v>
      </c>
      <c r="AZ18" s="184">
        <f>SUBTOTAL(9,AZ14:AZ17)</f>
        <v>4706</v>
      </c>
      <c r="BA18" s="184">
        <f>SUBTOTAL(9,BA14:BA17)</f>
        <v>4391</v>
      </c>
      <c r="BB18" s="184">
        <f>SUBTOTAL(9,BB14:BB17)</f>
        <v>6106</v>
      </c>
      <c r="BC18" s="184">
        <f>SUBTOTAL(9,BC14:BC17)</f>
        <v>631</v>
      </c>
      <c r="BD18" s="205">
        <f>IF(ISNUMBER(BA18/AZ18),BA18/AZ18," - ")</f>
        <v>0.93306417339566505</v>
      </c>
      <c r="BE18" s="206">
        <f>IF(ISNUMBER(BB18/BA18),BB18/BA18, " - ")</f>
        <v>1.3905716237759052</v>
      </c>
      <c r="BF18" s="206">
        <f>IF(ISNUMBER(BC18/BA18),BC18/BA18, " - ")</f>
        <v>0.14370302892279663</v>
      </c>
      <c r="BG18" s="207">
        <f>IF(ISNUMBER((AY18+AZ18)/BA18),(AY18+AZ18)/BA18," - ")</f>
        <v>2.3561831017991346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19036</v>
      </c>
      <c r="J19" s="134">
        <f t="shared" si="18"/>
        <v>10161</v>
      </c>
      <c r="K19" s="134">
        <f t="shared" si="18"/>
        <v>9357</v>
      </c>
      <c r="L19" s="134">
        <f t="shared" si="18"/>
        <v>19857</v>
      </c>
      <c r="M19" s="134">
        <f t="shared" si="18"/>
        <v>2165</v>
      </c>
      <c r="N19" s="134">
        <f t="shared" si="18"/>
        <v>5088</v>
      </c>
      <c r="O19" s="134">
        <f t="shared" si="18"/>
        <v>1951</v>
      </c>
      <c r="P19" s="134">
        <f t="shared" si="18"/>
        <v>1219</v>
      </c>
      <c r="Q19" s="134">
        <f t="shared" si="18"/>
        <v>1323</v>
      </c>
      <c r="R19" s="134">
        <f t="shared" si="18"/>
        <v>15066</v>
      </c>
      <c r="S19" s="134">
        <f t="shared" si="18"/>
        <v>13118</v>
      </c>
      <c r="T19" s="134">
        <f t="shared" si="18"/>
        <v>9492</v>
      </c>
      <c r="U19" s="134">
        <f t="shared" si="18"/>
        <v>8585</v>
      </c>
      <c r="V19" s="134">
        <f t="shared" si="18"/>
        <v>14407</v>
      </c>
      <c r="W19" s="134">
        <f t="shared" si="18"/>
        <v>1595</v>
      </c>
      <c r="X19" s="134">
        <f t="shared" si="18"/>
        <v>4778</v>
      </c>
      <c r="Y19" s="134">
        <f t="shared" si="18"/>
        <v>280</v>
      </c>
      <c r="Z19" s="134">
        <f t="shared" si="18"/>
        <v>307</v>
      </c>
      <c r="AA19" s="134">
        <f t="shared" si="18"/>
        <v>359</v>
      </c>
      <c r="AB19" s="134">
        <f t="shared" si="18"/>
        <v>228</v>
      </c>
      <c r="AC19" s="134">
        <f t="shared" si="18"/>
        <v>17</v>
      </c>
      <c r="AD19" s="134">
        <f t="shared" si="18"/>
        <v>108</v>
      </c>
      <c r="AE19" s="134">
        <f t="shared" si="18"/>
        <v>125</v>
      </c>
      <c r="AF19" s="134">
        <f t="shared" si="18"/>
        <v>0</v>
      </c>
      <c r="AG19" s="134">
        <f t="shared" si="18"/>
        <v>237</v>
      </c>
      <c r="AH19" s="134">
        <f t="shared" si="18"/>
        <v>451</v>
      </c>
      <c r="AI19" s="134">
        <f t="shared" si="18"/>
        <v>401</v>
      </c>
      <c r="AJ19" s="134">
        <f t="shared" si="18"/>
        <v>275</v>
      </c>
      <c r="AK19" s="134">
        <f t="shared" si="18"/>
        <v>0</v>
      </c>
      <c r="AL19" s="134">
        <f t="shared" si="18"/>
        <v>132</v>
      </c>
      <c r="AM19" s="134">
        <f t="shared" si="18"/>
        <v>132</v>
      </c>
      <c r="AN19" s="210">
        <f t="shared" si="18"/>
        <v>0</v>
      </c>
      <c r="AO19" s="211">
        <v>13</v>
      </c>
      <c r="AP19" s="211">
        <v>13</v>
      </c>
      <c r="AQ19" s="211">
        <v>13</v>
      </c>
      <c r="AR19" s="211">
        <v>13</v>
      </c>
      <c r="AS19" s="153">
        <f t="shared" si="18"/>
        <v>0</v>
      </c>
      <c r="AT19" s="153">
        <f t="shared" si="18"/>
        <v>0</v>
      </c>
      <c r="AU19" s="211"/>
      <c r="AV19" s="212"/>
      <c r="AW19" s="211"/>
      <c r="AX19" s="212"/>
      <c r="AY19" s="133">
        <f>SUBTOTAL(9,AY9:AY18)</f>
        <v>13355</v>
      </c>
      <c r="AZ19" s="134">
        <f>SUBTOTAL(9,AZ9:AZ18)</f>
        <v>9943</v>
      </c>
      <c r="BA19" s="134">
        <f>SUBTOTAL(9,BA9:BA18)</f>
        <v>8986</v>
      </c>
      <c r="BB19" s="134">
        <f>SUBTOTAL(9,BB9:BB18)</f>
        <v>14682</v>
      </c>
      <c r="BC19" s="135">
        <f>SUBTOTAL(9,BC9:BC18)</f>
        <v>2473</v>
      </c>
      <c r="BD19" s="213">
        <f>IF(ISNUMBER(BA19/AZ19),BA19/AZ19," - ")</f>
        <v>0.90375138288242984</v>
      </c>
      <c r="BE19" s="210">
        <f>IF(ISNUMBER(BB19/BA19),BB19/BA19, " - ")</f>
        <v>1.6338749165368351</v>
      </c>
      <c r="BF19" s="210">
        <f>IF(ISNUMBER(BC19/BA19),BC19/BA19, " - ")</f>
        <v>0.27520587580681061</v>
      </c>
      <c r="BG19" s="135">
        <f>IF(ISNUMBER((AY19+AZ19)/BA19),(AY19+AZ19)/BA19," - ")</f>
        <v>2.5926997551747162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75Urf/Ab7BVzsM5KY3TZ476Yu1tdQm6dD+TfdAHxzgbFQB3418EIySK2pvqIasUeRFQMnCKXEc5cJd+chB6JA==" saltValue="UbEqUkhq3QZCofm8kh06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kRvM5RLZzUZyNDMiEFjLEcH/ulfLN6h8lzpJIgbPP8zKhhAccIa50qSlAkP3ovr8Q55FfzE7ymwlv/VB88Yw==" saltValue="SFLTQiG9ISdFbqKfD53v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67</v>
      </c>
      <c r="O9" s="334"/>
      <c r="P9" s="334"/>
      <c r="Q9" s="226">
        <f>IF(ISNUMBER(Datos!P9),Datos!P9,0)</f>
        <v>844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1064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129</v>
      </c>
      <c r="AI9" s="334" t="str">
        <f>IF(ISNUMBER(Datos!CD9),Datos!CD9,"-")</f>
        <v>-</v>
      </c>
      <c r="AJ9" s="334" t="str">
        <f>IF(ISNUMBER(Datos!EN9),Datos!EN9," - ")</f>
        <v xml:space="preserve"> - </v>
      </c>
      <c r="AK9" s="334"/>
      <c r="AL9" s="479"/>
      <c r="AM9" s="335">
        <f>IF(ISNUMBER(Datos!R9),Datos!R9," - ")</f>
        <v>13281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1232</v>
      </c>
      <c r="BD9" s="229">
        <f>IF(ISNUMBER(Datos!N9),Datos!N9," - ")</f>
        <v>1795</v>
      </c>
      <c r="BE9" s="229" t="str">
        <f>IF(ISNUMBER(Datos!BW9),Datos!BW9," - ")</f>
        <v xml:space="preserve"> - </v>
      </c>
      <c r="BF9" s="228" t="str">
        <f>IF(ISNUMBER(Datos!BX9),Datos!BX9," - ")</f>
        <v xml:space="preserve"> - </v>
      </c>
      <c r="BG9" s="243">
        <f>IF(ISNUMBER(IF(J_V="SI",Datos!K9/Datos!J9,(Datos!K9+Datos!AA9)/(Datos!J9+Datos!Z9))),IF(J_V="SI",Datos!K9/Datos!J9,(Datos!K9+Datos!AA9)/(Datos!J9+Datos!Z9))," - ")</f>
        <v>0.92271361099184201</v>
      </c>
      <c r="BH9" s="260">
        <f>IF(ISNUMBER(((IF(J_V="SI",Datos!L9/Datos!K9,(Datos!L9+Datos!AB9)/(Datos!K9+Datos!AA9)))*11)/factor_trimestre),((IF(J_V="SI",Datos!L9/Datos!K9,(Datos!L9+Datos!AB9)/(Datos!K9+Datos!AA9)))*11)/factor_trimestre," - ")</f>
        <v>7.4225221033038622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-1.6295089252647953E-2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178</v>
      </c>
      <c r="G10" s="333">
        <f>IF(ISNUMBER(Datos!I10),Datos!I10," - ")</f>
        <v>178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74</v>
      </c>
      <c r="AC10" s="226">
        <f>IF(ISNUMBER(Datos!Q10),Datos!Q10," - ")</f>
        <v>3</v>
      </c>
      <c r="AD10" s="334"/>
      <c r="AE10" s="484"/>
      <c r="AF10" s="332">
        <f>IF(ISNUMBER(Datos!L10),Datos!L10,"-")</f>
        <v>159</v>
      </c>
      <c r="AG10" s="334"/>
      <c r="AH10" s="334"/>
      <c r="AI10" s="334"/>
      <c r="AJ10" s="334"/>
      <c r="AK10" s="334"/>
      <c r="AL10" s="479"/>
      <c r="AM10" s="335">
        <f>IF(ISNUMBER(Datos!R10),Datos!R10," - ")</f>
        <v>116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26</v>
      </c>
      <c r="BE10" s="229" t="str">
        <f>IF(ISNUMBER(Datos!BW10),Datos!BW10," - ")</f>
        <v xml:space="preserve"> - </v>
      </c>
      <c r="BF10" s="228" t="str">
        <f>IF(ISNUMBER(Datos!BX10),Datos!BX10," - ")</f>
        <v xml:space="preserve"> - </v>
      </c>
      <c r="BG10" s="243">
        <f>IF(ISNUMBER(Datos!K10/Datos!J10),Datos!K10/Datos!J10," - ")</f>
        <v>1.3454545454545455</v>
      </c>
      <c r="BH10" s="260">
        <f>IF(ISNUMBER(((Datos!L10/Datos!K10)*11)/factor_trimestre),((Datos!L10/Datos!K10)*11)/factor_trimestre," - ")</f>
        <v>6.4459459459459465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0.11538461538461539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240</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61</v>
      </c>
      <c r="AD11" s="334"/>
      <c r="AE11" s="484"/>
      <c r="AF11" s="332" t="str">
        <f>IF(ISNUMBER(IF(J_V="SI",Datos!L11,Datos!L11+Datos!AB11)-IF(Monitorios="SI",Datos!CD11,0)),
                          IF(J_V="SI",Datos!L11,Datos!L11+Datos!AB11)-IF(Monitorios="SI",Datos!CD11,0),
                          " - ")</f>
        <v xml:space="preserve"> - </v>
      </c>
      <c r="AG11" s="334"/>
      <c r="AH11" s="334">
        <f>IF(ISNUMBER(Datos!AB11),Datos!AB11,"-")</f>
        <v>99</v>
      </c>
      <c r="AI11" s="334"/>
      <c r="AJ11" s="334"/>
      <c r="AK11" s="334"/>
      <c r="AL11" s="479"/>
      <c r="AM11" s="335">
        <f>IF(ISNUMBER(Datos!R11),Datos!R11," - ")</f>
        <v>592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132</v>
      </c>
      <c r="BD11" s="229">
        <f>IF(ISNUMBER(Datos!N11),Datos!N11," - ")</f>
        <v>415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1.103448275862069</v>
      </c>
      <c r="BH11" s="260">
        <f>IF(ISNUMBER(((IF(J_V="SI",Datos!L11/Datos!K11,(Datos!L11+Datos!AB11)/(Datos!K11+Datos!AA11)))*11)/factor_trimestre),((IF(J_V="SI",Datos!L11/Datos!K11,(Datos!L11+Datos!AB11)/(Datos!K11+Datos!AA11)))*11)/factor_trimestre," - ")</f>
        <v>3.9234375000000004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-1.1686143572621035E-2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-7.6628352490421452E-3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178</v>
      </c>
      <c r="G13" s="898">
        <f t="shared" si="0"/>
        <v>178</v>
      </c>
      <c r="H13" s="899">
        <f t="shared" si="0"/>
        <v>0</v>
      </c>
      <c r="I13" s="898">
        <f t="shared" si="0"/>
        <v>0</v>
      </c>
      <c r="J13" s="867">
        <f t="shared" si="0"/>
        <v>0</v>
      </c>
      <c r="K13" s="867">
        <f t="shared" si="0"/>
        <v>0</v>
      </c>
      <c r="L13" s="899">
        <f t="shared" si="0"/>
        <v>0</v>
      </c>
      <c r="M13" s="899">
        <f t="shared" si="0"/>
        <v>0</v>
      </c>
      <c r="N13" s="899">
        <f t="shared" si="0"/>
        <v>307</v>
      </c>
      <c r="O13" s="900">
        <f t="shared" si="0"/>
        <v>0</v>
      </c>
      <c r="P13" s="900">
        <f t="shared" si="0"/>
        <v>0</v>
      </c>
      <c r="Q13" s="899">
        <f t="shared" si="0"/>
        <v>913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74</v>
      </c>
      <c r="AC13" s="899">
        <f t="shared" si="1"/>
        <v>1130</v>
      </c>
      <c r="AD13" s="899">
        <f t="shared" si="1"/>
        <v>0</v>
      </c>
      <c r="AE13" s="899">
        <f t="shared" si="1"/>
        <v>0</v>
      </c>
      <c r="AF13" s="899">
        <f t="shared" si="1"/>
        <v>159</v>
      </c>
      <c r="AG13" s="899">
        <f t="shared" si="1"/>
        <v>0</v>
      </c>
      <c r="AH13" s="899">
        <f t="shared" si="1"/>
        <v>228</v>
      </c>
      <c r="AI13" s="899">
        <f t="shared" si="1"/>
        <v>0</v>
      </c>
      <c r="AJ13" s="899">
        <f t="shared" si="1"/>
        <v>0</v>
      </c>
      <c r="AK13" s="899">
        <f t="shared" si="1"/>
        <v>0</v>
      </c>
      <c r="AL13" s="899">
        <f t="shared" si="1"/>
        <v>0</v>
      </c>
      <c r="AM13" s="899">
        <f t="shared" si="1"/>
        <v>14248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1384</v>
      </c>
      <c r="BD13" s="899">
        <f t="shared" si="1"/>
        <v>2236</v>
      </c>
      <c r="BE13" s="899">
        <f t="shared" si="1"/>
        <v>0</v>
      </c>
      <c r="BF13" s="899">
        <f t="shared" si="1"/>
        <v>0</v>
      </c>
      <c r="BG13" s="899">
        <f>IF(ISNUMBER(Datos!K13/Datos!J13),Datos!K13/Datos!J13," - ")</f>
        <v>0.93321299638989175</v>
      </c>
      <c r="BH13" s="903">
        <f>IF(ISNUMBER(((Datos!L13/Datos!K13)*11)/factor_trimestre),((Datos!L13/Datos!K13)*11)/factor_trimestre," - ")</f>
        <v>7.3520309477756287</v>
      </c>
      <c r="BI13" s="899">
        <f>IF(ISNUMBER('Resol  Asuntos'!D13/NºAsuntos!G13),'Resol  Asuntos'!D13/NºAsuntos!G13," - ")</f>
        <v>0.27613727055067838</v>
      </c>
      <c r="BJ13" s="899" t="str">
        <f>IF(ISNUMBER(Datos!CI13/Datos!CJ13),Datos!CI13/Datos!CJ13," - ")</f>
        <v xml:space="preserve"> - </v>
      </c>
      <c r="BK13" s="899">
        <f>SUBTOTAL(9,BK8:BK12)</f>
        <v>0</v>
      </c>
      <c r="BL13" s="899">
        <f>IF(ISNUMBER((I13-AB13+L13)/(F13)),(I13-AB13+L13)/(F13)," - ")</f>
        <v>-0.4157303370786517</v>
      </c>
      <c r="BM13" s="904">
        <f>SUBTOTAL(9,BM9:BM12)</f>
        <v>7.9740547310304263E-2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7690</v>
      </c>
      <c r="G15" s="598">
        <f>IF(ISNUMBER(IF(D_I="SI",Datos!I15,Datos!I15+Datos!AC15)),IF(D_I="SI",Datos!I15,Datos!I15+Datos!AC15)," - ")</f>
        <v>7674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306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4277</v>
      </c>
      <c r="AC15" s="226">
        <f>IF(ISNUMBER(Datos!Q15),Datos!Q15," - ")</f>
        <v>191</v>
      </c>
      <c r="AD15" s="334"/>
      <c r="AE15" s="484"/>
      <c r="AF15" s="596">
        <f>IF(ISNUMBER(IF(D_I="SI",Datos!L15,Datos!L15+Datos!AF15)),IF(D_I="SI",Datos!L15,Datos!L15+Datos!AF15)," - ")</f>
        <v>8155</v>
      </c>
      <c r="AG15" s="334"/>
      <c r="AH15" s="334"/>
      <c r="AI15" s="334"/>
      <c r="AJ15" s="334"/>
      <c r="AK15" s="334"/>
      <c r="AL15" s="479"/>
      <c r="AM15" s="335">
        <f>IF(ISNUMBER(Datos!R15),Datos!R15," - ")</f>
        <v>818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733</v>
      </c>
      <c r="BD15" s="229">
        <f>IF(ISNUMBER(Datos!N15),Datos!N15," - ")</f>
        <v>2673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0.90194010965837201</v>
      </c>
      <c r="BH15" s="260">
        <f>IF(ISNUMBER(((IF(D_I="SI",Datos!L15/Datos!K15,(Datos!L15+Datos!AF15)/(Datos!K15+Datos!AE15)))*11)/factor_trimestre),((IF(D_I="SI",Datos!L15/Datos!K15,(Datos!L15+Datos!AF15)/(Datos!K15+Datos!AE15)))*11)/factor_trimestre," - ")</f>
        <v>5.7201309328968906</v>
      </c>
      <c r="BI15" s="243">
        <f>IF(ISNUMBER('Resol  Asuntos'!D15/NºAsuntos!G15),'Resol  Asuntos'!D15/NºAsuntos!G15," - ")</f>
        <v>0.17138180967968203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427</v>
      </c>
      <c r="AC17" s="226">
        <f>IF(ISNUMBER(Datos!Q17),Datos!Q17," - ")</f>
        <v>2</v>
      </c>
      <c r="AD17" s="334"/>
      <c r="AE17" s="484"/>
      <c r="AF17" s="332">
        <f>IF(ISNUMBER(Datos!L17),Datos!L17,"-")</f>
        <v>299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48</v>
      </c>
      <c r="BD17" s="229">
        <f>IF(ISNUMBER(Datos!N17),Datos!N17," - ")</f>
        <v>179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0.98614318706697457</v>
      </c>
      <c r="BH17" s="260">
        <f>IF(ISNUMBER(((IF(D_I="SI",Datos!L17/Datos!K17,(Datos!L17+Datos!AF17)/(Datos!K17+Datos!AE17)))*11)/factor_trimestre),((IF(D_I="SI",Datos!L17/Datos!K17,(Datos!L17+Datos!AF17)/(Datos!K17+Datos!AE17)))*11)/factor_trimestre," - ")</f>
        <v>2.1007025761124121</v>
      </c>
      <c r="BI17" s="243">
        <f>IF(ISNUMBER('Resol  Asuntos'!D17/NºAsuntos!G17),'Resol  Asuntos'!D17/NºAsuntos!G17," - ")</f>
        <v>0.11241217798594848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7690</v>
      </c>
      <c r="G18" s="898">
        <f>SUBTOTAL(9,G15:G17)</f>
        <v>7967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4704</v>
      </c>
      <c r="AC18" s="899">
        <f t="shared" si="4"/>
        <v>193</v>
      </c>
      <c r="AD18" s="899">
        <f t="shared" si="4"/>
        <v>0</v>
      </c>
      <c r="AE18" s="899">
        <f t="shared" si="4"/>
        <v>0</v>
      </c>
      <c r="AF18" s="899">
        <f t="shared" si="4"/>
        <v>8454</v>
      </c>
      <c r="AG18" s="899">
        <f t="shared" si="4"/>
        <v>0</v>
      </c>
      <c r="AH18" s="899">
        <f t="shared" si="4"/>
        <v>0</v>
      </c>
      <c r="AI18" s="899">
        <f t="shared" si="4"/>
        <v>0</v>
      </c>
      <c r="AJ18" s="899">
        <f t="shared" si="4"/>
        <v>0</v>
      </c>
      <c r="AK18" s="899">
        <f t="shared" si="4"/>
        <v>0</v>
      </c>
      <c r="AL18" s="899">
        <f t="shared" si="4"/>
        <v>0</v>
      </c>
      <c r="AM18" s="899">
        <f t="shared" si="4"/>
        <v>818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781</v>
      </c>
      <c r="BD18" s="899">
        <f t="shared" si="4"/>
        <v>2852</v>
      </c>
      <c r="BE18" s="899">
        <f t="shared" si="4"/>
        <v>0</v>
      </c>
      <c r="BF18" s="899">
        <f t="shared" si="4"/>
        <v>0</v>
      </c>
      <c r="BG18" s="899">
        <f>IF(ISNUMBER(Datos!K18/Datos!J18),Datos!K18/Datos!J18," - ")</f>
        <v>0.90898550724637683</v>
      </c>
      <c r="BH18" s="903">
        <f>IF(ISNUMBER(((Datos!L18/Datos!K18)*11)/factor_trimestre),((Datos!L18/Datos!K18)*11)/factor_trimestre," - ")</f>
        <v>5.391581632653061</v>
      </c>
      <c r="BI18" s="899">
        <f>SUBTOTAL(9,BI15:BI17)</f>
        <v>0.28379398766563052</v>
      </c>
      <c r="BJ18" s="899">
        <f>SUBTOTAL(9,BJ15:BJ17)</f>
        <v>0</v>
      </c>
      <c r="BK18" s="899">
        <f>SUBTOTAL(9,BK15:BK17)</f>
        <v>0</v>
      </c>
      <c r="BL18" s="899">
        <f>IF(ISNUMBER((I18-AB18+L18)/(F18)),(I18-AB18+L18)/(F18)," - ")</f>
        <v>-0.611703511053316</v>
      </c>
      <c r="BM18" s="905">
        <f>IF(ISNUMBER((Datos!P18-Datos!Q18)/(Datos!R18-Datos!P18+Datos!Q18)),(Datos!P18-Datos!Q18)/(Datos!R18-Datos!P18+Datos!Q18)," - ")</f>
        <v>0.16028368794326242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7868</v>
      </c>
      <c r="G19" s="820">
        <f t="shared" si="6"/>
        <v>8145</v>
      </c>
      <c r="H19" s="822">
        <f t="shared" si="6"/>
        <v>0</v>
      </c>
      <c r="I19" s="820">
        <f t="shared" si="6"/>
        <v>0</v>
      </c>
      <c r="J19" s="822">
        <f t="shared" si="6"/>
        <v>0</v>
      </c>
      <c r="K19" s="822">
        <f t="shared" si="6"/>
        <v>0</v>
      </c>
      <c r="L19" s="881">
        <f t="shared" si="6"/>
        <v>0</v>
      </c>
      <c r="M19" s="881">
        <f t="shared" si="6"/>
        <v>0</v>
      </c>
      <c r="N19" s="881">
        <f t="shared" si="6"/>
        <v>307</v>
      </c>
      <c r="O19" s="881">
        <f t="shared" si="6"/>
        <v>0</v>
      </c>
      <c r="P19" s="881">
        <f t="shared" si="6"/>
        <v>0</v>
      </c>
      <c r="Q19" s="822">
        <f t="shared" si="6"/>
        <v>1219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4778</v>
      </c>
      <c r="AC19" s="821">
        <f t="shared" si="7"/>
        <v>1323</v>
      </c>
      <c r="AD19" s="821">
        <f t="shared" si="7"/>
        <v>0</v>
      </c>
      <c r="AE19" s="821">
        <f t="shared" si="7"/>
        <v>0</v>
      </c>
      <c r="AF19" s="828">
        <f t="shared" si="7"/>
        <v>8613</v>
      </c>
      <c r="AG19" s="828">
        <f t="shared" si="7"/>
        <v>0</v>
      </c>
      <c r="AH19" s="828">
        <f t="shared" si="7"/>
        <v>228</v>
      </c>
      <c r="AI19" s="828">
        <f t="shared" si="7"/>
        <v>0</v>
      </c>
      <c r="AJ19" s="821">
        <f t="shared" si="7"/>
        <v>0</v>
      </c>
      <c r="AK19" s="828">
        <f t="shared" si="7"/>
        <v>0</v>
      </c>
      <c r="AL19" s="828">
        <f t="shared" si="7"/>
        <v>0</v>
      </c>
      <c r="AM19" s="828">
        <f t="shared" si="7"/>
        <v>15066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2165</v>
      </c>
      <c r="BD19" s="820">
        <f t="shared" si="7"/>
        <v>5088</v>
      </c>
      <c r="BE19" s="820">
        <f t="shared" si="7"/>
        <v>0</v>
      </c>
      <c r="BF19" s="830">
        <f t="shared" si="7"/>
        <v>0</v>
      </c>
      <c r="BG19" s="915">
        <f>IF(ISNUMBER(Datos!K19/Datos!J19),Datos!K19/Datos!J19," - ")</f>
        <v>0.92087392973132565</v>
      </c>
      <c r="BH19" s="915">
        <f>IF(ISNUMBER(((Datos!L19/Datos!K19)*11)/factor_trimestre),((Datos!L19/Datos!K19)*11)/factor_trimestre," - ")</f>
        <v>6.3664636101314533</v>
      </c>
      <c r="BI19" s="813">
        <f>IF(ISNUMBER(Datos!J19/Datos!I19),Datos!J19/Datos!I19," - ")</f>
        <v>0.53377810464383268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-0.60726995424504326</v>
      </c>
      <c r="BM19" s="889">
        <f>IF(ISNUMBER((Datos!P19-Datos!Q19+R19)/(Datos!R19-Datos!P19+Datos!Q19-R19)),(Datos!P19-Datos!Q19+R19)/(Datos!R19-Datos!P19+Datos!Q19-R19)," - ")</f>
        <v>-6.8556361239288065E-3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3258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3.1001792062897122</v>
      </c>
      <c r="F21" s="551">
        <f>IF(ISNUMBER(STDEV(F8:F18)),STDEV(F8:F18),"-")</f>
        <v>4337.0552221524686</v>
      </c>
      <c r="G21" s="552">
        <f>IF(ISNUMBER(STDEV(G8:G18)),STDEV(G8:G18),"-")</f>
        <v>4166.5261909653227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2363.79984347237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567.83366528286376</v>
      </c>
      <c r="BD21" s="551"/>
      <c r="BE21" s="551">
        <f>IF(ISNUMBER(STDEV(BE8:BE18)),STDEV(BE8:BE18),"-")</f>
        <v>0</v>
      </c>
      <c r="BF21" s="556">
        <f>IF(ISNUMBER(STDEV(BF8:BF18)),STDEV(BF8:BF18),"-")</f>
        <v>0</v>
      </c>
      <c r="BG21" s="775">
        <f>IF(ISNUMBER(STDEV(BG8:BG18)),STDEV(BG8:BG18),"-")</f>
        <v>0.16180345504026825</v>
      </c>
      <c r="BH21" s="776">
        <f>IF(ISNUMBER(STDEV(BH8:BH18)),STDEV(BH8:BH18),"-")</f>
        <v>1.9200243153128422</v>
      </c>
      <c r="BI21" s="249">
        <f>IF(ISNUMBER(STDEV(BI8:BI18)),STDEV(BI8:BI18),"-")</f>
        <v>8.3328605405209186E-2</v>
      </c>
      <c r="BJ21" s="230" t="str">
        <f>IF(ISNUMBER(BL21/BM21),BL21/BM21," - ")</f>
        <v xml:space="preserve"> - </v>
      </c>
      <c r="BK21" s="575"/>
      <c r="BL21" s="559">
        <f>IF(ISNUMBER(STDEV(BL8:BL18)),STDEV(BL8:BL18),"-")</f>
        <v>0.13857396024813651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7Xud9497eCu/0UnpsVhLiuEiabZnG5l2z6MqiteF/NkJhhr7TYVsiYphI1rkrfngs34zr4EYJOXwJkIbM3V+A==" saltValue="ZPOSc6HCaOAmF5OUJFUb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LLEIDA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844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1064</v>
      </c>
      <c r="AA9" s="332" t="str">
        <f>IF(ISNUMBER(IF(J_V="SI",Datos!L9,Datos!L9+Datos!AB9)-IF(Monitorios="SI",Datos!CD9,0)),
                          IF(J_V="SI",Datos!L9,Datos!L9+Datos!AB9)-IF(Monitorios="SI",Datos!CD9,0),
                          " - ")</f>
        <v xml:space="preserve"> - </v>
      </c>
      <c r="AB9" s="334"/>
      <c r="AC9" s="334"/>
      <c r="AD9" s="484"/>
      <c r="AE9" s="484">
        <f>IF(ISNUMBER(Datos!R9),Datos!R9," - ")</f>
        <v>13281</v>
      </c>
      <c r="AF9" s="229" t="str">
        <f>IF(ISNUMBER(Datos!BV9),Datos!BV9," - ")</f>
        <v xml:space="preserve"> - </v>
      </c>
      <c r="AG9" s="225" t="str">
        <f>IF(ISNUMBER(Datos!DV9),Datos!DV9," - ")</f>
        <v xml:space="preserve"> - </v>
      </c>
      <c r="AH9" s="298"/>
      <c r="AI9" s="227"/>
      <c r="AJ9" s="225">
        <f>IF(ISNUMBER(Datos!M9),Datos!M9," - ")</f>
        <v>1232</v>
      </c>
      <c r="AK9" s="229">
        <f>IF(ISNUMBER(Datos!N9),Datos!N9," - ")</f>
        <v>1795</v>
      </c>
      <c r="AL9" s="229" t="str">
        <f>IF(ISNUMBER(Datos!BW9),Datos!BW9," - ")</f>
        <v xml:space="preserve"> - </v>
      </c>
      <c r="AM9" s="228" t="str">
        <f>IF(ISNUMBER(Datos!BX9),Datos!BX9," - ")</f>
        <v xml:space="preserve"> - </v>
      </c>
      <c r="AN9" s="243"/>
      <c r="AO9" s="260">
        <f>IF(ISNUMBER(((NºAsuntos!I9/NºAsuntos!G9)*11)/factor_trimestre),((NºAsuntos!I9/NºAsuntos!G9)*11)/factor_trimestre," - ")</f>
        <v>7.4225221033038622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-1.6295089252647953E-2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178</v>
      </c>
      <c r="G10" s="225">
        <f>IF(ISNUMBER(Datos!I10),Datos!I10," - ")</f>
        <v>178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74</v>
      </c>
      <c r="Z10" s="619">
        <f>IF(ISNUMBER(Datos!Q10),Datos!Q10," - ")</f>
        <v>3</v>
      </c>
      <c r="AA10" s="332">
        <f>IF(ISNUMBER(Datos!L10),Datos!L10,"-")</f>
        <v>159</v>
      </c>
      <c r="AB10" s="334"/>
      <c r="AC10" s="334"/>
      <c r="AD10" s="484"/>
      <c r="AE10" s="484">
        <f>IF(ISNUMBER(Datos!R10),Datos!R10," - ")</f>
        <v>116</v>
      </c>
      <c r="AF10" s="229" t="str">
        <f>IF(ISNUMBER(Datos!BV10),Datos!BV10," - ")</f>
        <v xml:space="preserve"> - </v>
      </c>
      <c r="AG10" s="225" t="str">
        <f>IF(ISNUMBER(Datos!DV10),Datos!DV10," - ")</f>
        <v xml:space="preserve"> - </v>
      </c>
      <c r="AH10" s="298"/>
      <c r="AI10" s="227"/>
      <c r="AJ10" s="225">
        <f>IF(ISNUMBER(Datos!M10),Datos!M10," - ")</f>
        <v>20</v>
      </c>
      <c r="AK10" s="229">
        <f>IF(ISNUMBER(Datos!N10),Datos!N10," - ")</f>
        <v>26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6.4459459459459465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0.11538461538461539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61</v>
      </c>
      <c r="AA11" s="332" t="str">
        <f>IF(ISNUMBER(IF(J_V="SI",Datos!L11,Datos!L11+Datos!AB11)-IF(Monitorios="SI",Datos!CD11,0)),
                          IF(J_V="SI",Datos!L11,Datos!L11+Datos!AB11)-IF(Monitorios="SI",Datos!CD11,0),
                          " - ")</f>
        <v xml:space="preserve"> - </v>
      </c>
      <c r="AB11" s="334"/>
      <c r="AC11" s="334"/>
      <c r="AD11" s="484"/>
      <c r="AE11" s="484">
        <f>IF(ISNUMBER(Datos!R11),Datos!R11," - ")</f>
        <v>592</v>
      </c>
      <c r="AF11" s="229" t="str">
        <f>IF(ISNUMBER(Datos!BV11),Datos!BV11," - ")</f>
        <v xml:space="preserve"> - </v>
      </c>
      <c r="AG11" s="225" t="str">
        <f>IF(ISNUMBER(Datos!DV11),Datos!DV11," - ")</f>
        <v xml:space="preserve"> - </v>
      </c>
      <c r="AH11" s="298"/>
      <c r="AI11" s="227"/>
      <c r="AJ11" s="225">
        <f>IF(ISNUMBER(Datos!M11),Datos!M11," - ")</f>
        <v>132</v>
      </c>
      <c r="AK11" s="229">
        <f>IF(ISNUMBER(Datos!N11),Datos!N11," - ")</f>
        <v>415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3.9234375000000004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-1.1686143572621035E-2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259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-7.6628352490421452E-3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178</v>
      </c>
      <c r="G13" s="898">
        <f>SUBTOTAL(9,G8:G12)</f>
        <v>178</v>
      </c>
      <c r="H13" s="908"/>
      <c r="I13" s="898">
        <f t="shared" ref="I13:N13" si="0">SUBTOTAL(9,I8:I12)</f>
        <v>0</v>
      </c>
      <c r="J13" s="867">
        <f t="shared" si="0"/>
        <v>0</v>
      </c>
      <c r="K13" s="908">
        <f t="shared" si="0"/>
        <v>0</v>
      </c>
      <c r="L13" s="908">
        <f t="shared" si="0"/>
        <v>0</v>
      </c>
      <c r="M13" s="908">
        <f t="shared" si="0"/>
        <v>0</v>
      </c>
      <c r="N13" s="908">
        <f t="shared" si="0"/>
        <v>913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74</v>
      </c>
      <c r="Z13" s="907">
        <f t="shared" si="2"/>
        <v>1130</v>
      </c>
      <c r="AA13" s="900">
        <f t="shared" si="2"/>
        <v>159</v>
      </c>
      <c r="AB13" s="900">
        <f t="shared" si="2"/>
        <v>0</v>
      </c>
      <c r="AC13" s="900">
        <f t="shared" si="2"/>
        <v>0</v>
      </c>
      <c r="AD13" s="900">
        <f t="shared" si="2"/>
        <v>0</v>
      </c>
      <c r="AE13" s="900">
        <f t="shared" si="2"/>
        <v>14248</v>
      </c>
      <c r="AF13" s="908">
        <f t="shared" si="2"/>
        <v>0</v>
      </c>
      <c r="AG13" s="908">
        <f t="shared" si="2"/>
        <v>0</v>
      </c>
      <c r="AH13" s="908">
        <f t="shared" si="2"/>
        <v>0</v>
      </c>
      <c r="AI13" s="908">
        <f t="shared" si="2"/>
        <v>0</v>
      </c>
      <c r="AJ13" s="908">
        <f t="shared" si="2"/>
        <v>1384</v>
      </c>
      <c r="AK13" s="908">
        <f t="shared" si="2"/>
        <v>2236</v>
      </c>
      <c r="AL13" s="908">
        <f t="shared" si="2"/>
        <v>0</v>
      </c>
      <c r="AM13" s="908">
        <f t="shared" si="2"/>
        <v>0</v>
      </c>
      <c r="AN13" s="908">
        <f t="shared" si="2"/>
        <v>0</v>
      </c>
      <c r="AO13" s="904">
        <f>IF(ISNUMBER(((NºAsuntos!I13/NºAsuntos!G13)*11)/factor_trimestre),((NºAsuntos!I13/NºAsuntos!G13)*11)/factor_trimestre," - ")</f>
        <v>6.9618914604948126</v>
      </c>
      <c r="AP13" s="910" t="str">
        <f>IF(ISNUMBER(Datos!CI13/Datos!CJ13),Datos!CI13/Datos!CJ13," - ")</f>
        <v xml:space="preserve"> - </v>
      </c>
      <c r="AQ13" s="928">
        <f t="shared" ref="AQ13:AV13" si="3">SUBTOTAL(9,AQ9:AQ12)</f>
        <v>0</v>
      </c>
      <c r="AR13" s="928">
        <f t="shared" si="3"/>
        <v>7.9740547310304263E-2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7690</v>
      </c>
      <c r="G15" s="225">
        <f>IF(ISNUMBER(IF(D_I="SI",Datos!I15,Datos!I15+Datos!AC15)),IF(D_I="SI",Datos!I15,Datos!I15+Datos!AC15)," - ")</f>
        <v>7674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306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4277</v>
      </c>
      <c r="Z15" s="619">
        <f>IF(ISNUMBER(Datos!Q15),Datos!Q15," - ")</f>
        <v>191</v>
      </c>
      <c r="AA15" s="332">
        <f>IF(ISNUMBER(IF(D_I="SI",Datos!L15,Datos!L15+Datos!AF15)),IF(D_I="SI",Datos!L15,Datos!L15+Datos!AF15)," - ")</f>
        <v>8155</v>
      </c>
      <c r="AB15" s="334"/>
      <c r="AC15" s="334"/>
      <c r="AD15" s="484"/>
      <c r="AE15" s="484">
        <f>IF(ISNUMBER(Datos!R15),Datos!R15," - ")</f>
        <v>818</v>
      </c>
      <c r="AF15" s="229" t="str">
        <f>IF(ISNUMBER(Datos!BV15),Datos!BV15," - ")</f>
        <v xml:space="preserve"> - </v>
      </c>
      <c r="AG15" s="225"/>
      <c r="AH15" s="298"/>
      <c r="AI15" s="227"/>
      <c r="AJ15" s="225">
        <f>IF(ISNUMBER(Datos!M15),Datos!M15," - ")</f>
        <v>733</v>
      </c>
      <c r="AK15" s="229">
        <f>IF(ISNUMBER(Datos!N15),Datos!N15," - ")</f>
        <v>2673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5.7201309328968906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427</v>
      </c>
      <c r="Z17" s="619">
        <f>IF(ISNUMBER(Datos!Q17),Datos!Q17," - ")</f>
        <v>2</v>
      </c>
      <c r="AA17" s="332">
        <f>IF(ISNUMBER(Datos!L17),Datos!L17,"-")</f>
        <v>299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48</v>
      </c>
      <c r="AK17" s="229">
        <f>IF(ISNUMBER(Datos!N17),Datos!N17," - ")</f>
        <v>179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2.1007025761124121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7690</v>
      </c>
      <c r="G18" s="898">
        <f>SUBTOTAL(9,G15:G17)</f>
        <v>7967</v>
      </c>
      <c r="H18" s="932">
        <f>SUBTOTAL(9,H15:H17)</f>
        <v>0</v>
      </c>
      <c r="I18" s="911">
        <f>SUBTOTAL(9,I15:I17)</f>
        <v>0</v>
      </c>
      <c r="J18" s="867">
        <f>SUBTOTAL(9,J14:J17)</f>
        <v>0</v>
      </c>
      <c r="K18" s="932">
        <f t="shared" ref="K18:S18" si="4">SUBTOTAL(9,K15:K17)</f>
        <v>0</v>
      </c>
      <c r="L18" s="932">
        <f t="shared" si="4"/>
        <v>0</v>
      </c>
      <c r="M18" s="932">
        <f t="shared" si="4"/>
        <v>0</v>
      </c>
      <c r="N18" s="932">
        <f t="shared" si="4"/>
        <v>306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4704</v>
      </c>
      <c r="Z18" s="932">
        <f t="shared" si="5"/>
        <v>193</v>
      </c>
      <c r="AA18" s="932">
        <f t="shared" si="5"/>
        <v>8454</v>
      </c>
      <c r="AB18" s="932">
        <f t="shared" si="5"/>
        <v>0</v>
      </c>
      <c r="AC18" s="932">
        <f t="shared" si="5"/>
        <v>0</v>
      </c>
      <c r="AD18" s="932">
        <f t="shared" si="5"/>
        <v>0</v>
      </c>
      <c r="AE18" s="932">
        <f t="shared" si="5"/>
        <v>818</v>
      </c>
      <c r="AF18" s="932">
        <f t="shared" si="5"/>
        <v>0</v>
      </c>
      <c r="AG18" s="932">
        <f t="shared" si="5"/>
        <v>0</v>
      </c>
      <c r="AH18" s="932">
        <f t="shared" si="5"/>
        <v>0</v>
      </c>
      <c r="AI18" s="932">
        <f t="shared" si="5"/>
        <v>0</v>
      </c>
      <c r="AJ18" s="932">
        <f t="shared" si="5"/>
        <v>781</v>
      </c>
      <c r="AK18" s="932">
        <f t="shared" si="5"/>
        <v>2852</v>
      </c>
      <c r="AL18" s="932">
        <f t="shared" si="5"/>
        <v>0</v>
      </c>
      <c r="AM18" s="932">
        <f t="shared" si="5"/>
        <v>0</v>
      </c>
      <c r="AN18" s="932">
        <f t="shared" si="5"/>
        <v>0</v>
      </c>
      <c r="AO18" s="934">
        <f>IF(ISNUMBER(((NºAsuntos!I18/NºAsuntos!G18)*11)/factor_trimestre),((NºAsuntos!I18/NºAsuntos!G18)*11)/factor_trimestre," - ")</f>
        <v>5.391581632653061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7868</v>
      </c>
      <c r="G19" s="820">
        <f t="shared" si="7"/>
        <v>8145</v>
      </c>
      <c r="H19" s="821">
        <f t="shared" si="7"/>
        <v>0</v>
      </c>
      <c r="I19" s="820">
        <f t="shared" si="7"/>
        <v>0</v>
      </c>
      <c r="J19" s="822">
        <f t="shared" si="7"/>
        <v>0</v>
      </c>
      <c r="K19" s="820">
        <f t="shared" si="7"/>
        <v>0</v>
      </c>
      <c r="L19" s="823">
        <f t="shared" si="7"/>
        <v>0</v>
      </c>
      <c r="M19" s="820">
        <f t="shared" si="7"/>
        <v>0</v>
      </c>
      <c r="N19" s="821">
        <f t="shared" si="7"/>
        <v>1219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4778</v>
      </c>
      <c r="Z19" s="827">
        <f t="shared" si="8"/>
        <v>1323</v>
      </c>
      <c r="AA19" s="828">
        <f t="shared" si="8"/>
        <v>8613</v>
      </c>
      <c r="AB19" s="828">
        <f t="shared" si="8"/>
        <v>0</v>
      </c>
      <c r="AC19" s="828">
        <f t="shared" si="8"/>
        <v>0</v>
      </c>
      <c r="AD19" s="829">
        <f t="shared" si="8"/>
        <v>0</v>
      </c>
      <c r="AE19" s="829">
        <f t="shared" si="8"/>
        <v>15066</v>
      </c>
      <c r="AF19" s="830">
        <f t="shared" si="8"/>
        <v>0</v>
      </c>
      <c r="AG19" s="831">
        <f t="shared" si="8"/>
        <v>0</v>
      </c>
      <c r="AH19" s="832">
        <f t="shared" si="8"/>
        <v>0</v>
      </c>
      <c r="AI19" s="830">
        <f t="shared" si="8"/>
        <v>0</v>
      </c>
      <c r="AJ19" s="820">
        <f t="shared" si="8"/>
        <v>2165</v>
      </c>
      <c r="AK19" s="820">
        <f t="shared" si="8"/>
        <v>5088</v>
      </c>
      <c r="AL19" s="820">
        <f t="shared" si="8"/>
        <v>0</v>
      </c>
      <c r="AM19" s="833">
        <f t="shared" si="8"/>
        <v>0</v>
      </c>
      <c r="AN19" s="823">
        <f>IF(ISNUMBER(Datos!K19/Datos!J19),Datos!K19/Datos!J19," - ")</f>
        <v>0.92087392973132565</v>
      </c>
      <c r="AO19" s="823">
        <f>IF(ISNUMBER(FIND("06",Criterios!A8,1)),(IF(ISNUMBER(((Datos!R19/Datos!Q19)*11)/factor_trimestre),((Datos!R19/Datos!Q19)*11)/factor_trimestre," - ")),(IF(ISNUMBER(((Datos!L19/Datos!K19)*11)/factor_trimestre),((Datos!L19/Datos!K19)*11)/factor_trimestre," - ")))</f>
        <v>6.3664636101314533</v>
      </c>
      <c r="AP19" s="834" t="str">
        <f>IF(ISNUMBER(Datos!CI19/Datos!CJ19),Datos!CI19/Datos!CJ19," - ")</f>
        <v xml:space="preserve"> - </v>
      </c>
      <c r="AQ19" s="834">
        <f>IF(OR(ISNUMBER(FIND("01",Criterios!A8,1)),ISNUMBER(FIND("02",Criterios!A8,1)),ISNUMBER(FIND("03",Criterios!A8,1)),ISNUMBER(FIND("04",Criterios!A8,1))),(J19-Y19+K19)/(F19-K19),(I19-Y19+K19)/(F19-K19))</f>
        <v>-0.60726995424504326</v>
      </c>
      <c r="AR19" s="834">
        <f>IF(ISNUMBER((Datos!P19-Datos!Q19+O19)/(Datos!R19-Datos!P19+Datos!Q19-O19)),(Datos!P19-Datos!Q19+O19)/(Datos!R19-Datos!P19+Datos!Q19-O19)," - ")</f>
        <v>-6.8556361239288065E-3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3258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4337.0552221524686</v>
      </c>
      <c r="G21" s="552">
        <f>IF(ISNUMBER(STDEV(G8:G18)),STDEV(G8:G18),"-")</f>
        <v>4166.5261909653227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567.83366528286376</v>
      </c>
      <c r="AK21" s="252"/>
      <c r="AL21" s="252">
        <f>IF(ISNUMBER(STDEV(AL8:AL18)),STDEV(AL8:AL18),"-")</f>
        <v>0</v>
      </c>
      <c r="AM21" s="254">
        <f>IF(ISNUMBER(STDEV(AM8:AM18)),STDEV(AM8:AM18),"-")</f>
        <v>0</v>
      </c>
      <c r="AN21" s="539">
        <f>IF(ISNUMBER(STDEV(AN8:AN18)),STDEV(AN8:AN18),"-")</f>
        <v>0</v>
      </c>
      <c r="AO21" s="540">
        <f>IF(ISNUMBER(STDEV(AO8:AO18)),STDEV(AO8:AO18),"-")</f>
        <v>1.8613754710539223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XtlN+RjDADC4cnzKYi6I8OVJdcdsXFlNTGW5OWqoapB4rELeaC16PPujxfG0ccCWyS4dSciRNK16QogA8zzuQ==" saltValue="GZs5ZGACsl6e2qLR0Pg/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4nCw97P8yRUUx4dXn6d8CF8+5RSOQNzcV2aUn2HxYwtv6I+6eQbuIZvB93LJFIUyqu0iz/cRkFRI3pIjxGlCzQ==" saltValue="1II7zIz2JMJruqyxkGZq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PjrDpstLC54v+PbAFMdgAke7aZcjr3VdCj7huM8PuhVVy8nL4AB2wGtmely2cvjRQ+LRXk/rytQGxfTj4WRvQ==" saltValue="0WCGgymyWY6HNhQE8ZIP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0.27613727055067838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0.19525853654472902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BOFBNG6qb4WXiTj2ux9/l65cR2Y/l8JpJ7zvKd9At4stDGUaf8rxevltLJ9YQJreK8o6MxCh+wEJ49m2awZQw==" saltValue="0t3RwTDvLP8fao/kvAGU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Lfms5w8vL8YFmcnd1MGgw8U9iTGfjk5BgrNFzEMiL7nrdydZ3x+7w+RkoeBoLNNSgVeXFnUtaGWBfTfL5Q++aA==" saltValue="J15LVvnu3cRLCLS/jfSB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LLEIDA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178</v>
      </c>
      <c r="G10" s="684">
        <f>IF(ISNUMBER(Datos!I10),Datos!I10," - ")</f>
        <v>178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74</v>
      </c>
      <c r="AC10" s="683" t="str">
        <f>IF(ISNUMBER(IF(D_I="SI",DatosP!K17,DatosP!K17+DatosP!AE17)),IF(D_I="SI",DatosP!K17,DatosP!K17+DatosP!AE17)," - ")</f>
        <v xml:space="preserve"> - </v>
      </c>
      <c r="AD10" s="685"/>
      <c r="AE10" s="685"/>
      <c r="AF10" s="688">
        <f>IF(ISNUMBER(Datos!L10),Datos!L10,"-")</f>
        <v>159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26</v>
      </c>
      <c r="AN10" s="690">
        <f>IF(ISNUMBER(Datos!BW10+DatosP!BW17),Datos!BW10+DatosP!BW17," - ")</f>
        <v>0</v>
      </c>
      <c r="AO10" s="691">
        <f>IF(ISNUMBER(Datos!BX10+DatosP!BX17),Datos!BX10+DatosP!BX17," - ")</f>
        <v>0</v>
      </c>
      <c r="AP10" s="693">
        <f>IF(ISNUMBER(((Datos!L10/Datos!K10)*11)/factor_trimestre),((Datos!L10/Datos!K10)*11)/factor_trimestre," - ")</f>
        <v>6.4459459459459465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-7.6628352490421452E-3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178</v>
      </c>
      <c r="G13" s="938">
        <f t="shared" si="0"/>
        <v>178</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74</v>
      </c>
      <c r="AC13" s="939">
        <f t="shared" si="1"/>
        <v>0</v>
      </c>
      <c r="AD13" s="939">
        <f t="shared" si="1"/>
        <v>2</v>
      </c>
      <c r="AE13" s="939">
        <f t="shared" si="1"/>
        <v>0</v>
      </c>
      <c r="AF13" s="939">
        <f t="shared" si="1"/>
        <v>159</v>
      </c>
      <c r="AG13" s="939">
        <f t="shared" si="1"/>
        <v>0</v>
      </c>
      <c r="AH13" s="939">
        <f t="shared" si="1"/>
        <v>259</v>
      </c>
      <c r="AI13" s="939">
        <f t="shared" si="1"/>
        <v>0</v>
      </c>
      <c r="AJ13" s="939">
        <f t="shared" si="1"/>
        <v>0</v>
      </c>
      <c r="AK13" s="939">
        <f t="shared" si="1"/>
        <v>0</v>
      </c>
      <c r="AL13" s="939">
        <f t="shared" si="1"/>
        <v>20</v>
      </c>
      <c r="AM13" s="939">
        <f t="shared" si="1"/>
        <v>26</v>
      </c>
      <c r="AN13" s="939">
        <f t="shared" si="1"/>
        <v>0</v>
      </c>
      <c r="AO13" s="939">
        <f t="shared" si="1"/>
        <v>0</v>
      </c>
      <c r="AP13" s="944">
        <f>IF(ISNUMBER(((Datos!L13/Datos!K13)*11)/factor_trimestre),((Datos!L13/Datos!K13)*11)/factor_trimestre," - ")</f>
        <v>7.3520309477756287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-0.4157303370786517</v>
      </c>
      <c r="AU13" s="939" t="str">
        <f>IF(ISNUMBER((DatosP!#REF!-DatosP!#REF!+DatosP!#REF!)/(DatosP!#REF!+DatosP!#REF!-DatosP!#REF!-DatosP!#REF!)),(DatosP!#REF!-DatosP!#REF!+DatosP!#REF!)/(DatosP!#REF!+DatosP!#REF!-DatosP!#REF!-DatosP!#REF!)," - ")</f>
        <v xml:space="preserve"> - </v>
      </c>
      <c r="AV13" s="945">
        <f>SUBTOTAL(9,AV9:AV12)</f>
        <v>-7.6628352490421452E-3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5.391581632653061</v>
      </c>
      <c r="AQ18" s="944">
        <f>IF(ISNUMBER(((Datos!M18/Datos!L18)*11)/factor_trimestre),((Datos!M18/Datos!L18)*11)/factor_trimestre," - ")</f>
        <v>0.27714691270404546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0.16028368794326242</v>
      </c>
      <c r="AW18" s="946">
        <f>IF(ISNUMBER((Datos!Q18-Datos!R18)/(Datos!S18-Datos!Q18+Datos!R18)),(Datos!Q18-Datos!R18)/(Datos!S18-Datos!Q18+Datos!R18)," - ")</f>
        <v>-9.9760574620909814E-2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178</v>
      </c>
      <c r="G19" s="951">
        <f t="shared" si="4"/>
        <v>178</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74</v>
      </c>
      <c r="AC19" s="957">
        <f t="shared" si="5"/>
        <v>0</v>
      </c>
      <c r="AD19" s="957">
        <f t="shared" si="5"/>
        <v>2</v>
      </c>
      <c r="AE19" s="957">
        <f t="shared" si="5"/>
        <v>0</v>
      </c>
      <c r="AF19" s="958">
        <f t="shared" si="5"/>
        <v>159</v>
      </c>
      <c r="AG19" s="958">
        <f t="shared" si="5"/>
        <v>0</v>
      </c>
      <c r="AH19" s="958">
        <f t="shared" si="5"/>
        <v>259</v>
      </c>
      <c r="AI19" s="958">
        <f t="shared" si="5"/>
        <v>0</v>
      </c>
      <c r="AJ19" s="959">
        <f t="shared" si="5"/>
        <v>0</v>
      </c>
      <c r="AK19" s="959">
        <f t="shared" si="5"/>
        <v>0</v>
      </c>
      <c r="AL19" s="951">
        <f t="shared" si="5"/>
        <v>20</v>
      </c>
      <c r="AM19" s="951">
        <f t="shared" si="5"/>
        <v>26</v>
      </c>
      <c r="AN19" s="951">
        <f t="shared" si="5"/>
        <v>0</v>
      </c>
      <c r="AO19" s="951">
        <f t="shared" si="5"/>
        <v>0</v>
      </c>
      <c r="AP19" s="951">
        <f>IF(ISNUMBER(((Datos!L19/Datos!K19)*11)/factor_trimestre),((Datos!L19/Datos!K19)*11)/factor_trimestre," - ")</f>
        <v>6.3664636101314533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-0.4157303370786517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-6.8556361239288065E-3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118.66666666666667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3.687817782917155</v>
      </c>
      <c r="F21" s="736">
        <f>IF(ISNUMBER(STDEV(F8:F18)),STDEV(F8:F18),"-")</f>
        <v>102.76834791575338</v>
      </c>
      <c r="G21" s="737">
        <f>IF(ISNUMBER(STDEV(G8:G18)),STDEV(G8:G18),"-")</f>
        <v>102.76834791575338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42.723919920032309</v>
      </c>
      <c r="AC21" s="738">
        <f>IF(ISNUMBER(STDEV(AC8:AC18)),STDEV(AC8:AC18),"-")</f>
        <v>0</v>
      </c>
      <c r="AD21" s="741"/>
      <c r="AE21" s="741"/>
      <c r="AF21" s="741"/>
      <c r="AG21" s="741"/>
      <c r="AH21" s="741"/>
      <c r="AI21" s="741"/>
      <c r="AJ21" s="742">
        <f>IF(ISNUMBER(STDEV(AJ8:AJ18)),STDEV(AJ8:AJ18),"-")</f>
        <v>0</v>
      </c>
      <c r="AK21" s="744"/>
      <c r="AL21" s="736">
        <f>IF(ISNUMBER(STDEV(AL8:AL18)),STDEV(AL8:AL18),"-")</f>
        <v>11.547005383792516</v>
      </c>
      <c r="AM21" s="736"/>
      <c r="AN21" s="736">
        <f>IF(ISNUMBER(STDEV(AN8:AN18)),STDEV(AN8:AN18),"-")</f>
        <v>0</v>
      </c>
      <c r="AO21" s="742">
        <f>IF(ISNUMBER(STDEV(AO8:AO18)),STDEV(AO8:AO18),"-")</f>
        <v>0</v>
      </c>
      <c r="AP21" s="779">
        <f>IF(ISNUMBER(STDEV(AP8:AP18)),STDEV(AP8:AP18),"-")</f>
        <v>0.98115880916825493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o5taILPPgADVw0t0Sro9I9FZF9lu38lkd/Ou1/YY1ugsP1+PNSKBYVIFPXXsMFtRqYO0ctA9S1alyYDhJ3vhw==" saltValue="h6UwpD9Xc1hRGznL5xES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